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03"/>
  <workbookPr codeName="ThisWorkbook" defaultThemeVersion="124226"/>
  <mc:AlternateContent xmlns:mc="http://schemas.openxmlformats.org/markup-compatibility/2006">
    <mc:Choice Requires="x15">
      <x15ac:absPath xmlns:x15ac="http://schemas.microsoft.com/office/spreadsheetml/2010/11/ac" url="Z:\AmyD\MIECHV NA\"/>
    </mc:Choice>
  </mc:AlternateContent>
  <xr:revisionPtr revIDLastSave="1" documentId="11_9EC7722E9AA489381D5F0C07E11A719909A57C31" xr6:coauthVersionLast="47" xr6:coauthVersionMax="47" xr10:uidLastSave="{D2BA3E93-34EB-40DE-BBBC-91A417F8F6D9}"/>
  <bookViews>
    <workbookView xWindow="0" yWindow="0" windowWidth="19200" windowHeight="7050" tabRatio="677" firstSheet="7" activeTab="2" xr2:uid="{00000000-000D-0000-FFFF-FFFF00000000}"/>
  </bookViews>
  <sheets>
    <sheet name="Data Summary Contents" sheetId="7" r:id="rId1"/>
    <sheet name="1. Simplified Method Overview" sheetId="6" r:id="rId2"/>
    <sheet name="2. Description of Indicators" sheetId="5" r:id="rId3"/>
    <sheet name="3. Descriptive Statistics" sheetId="1" r:id="rId4"/>
    <sheet name="4. Raw Indicators" sheetId="2" r:id="rId5"/>
    <sheet name="5. Standardized Indicators" sheetId="3" r:id="rId6"/>
    <sheet name="6. At-Risk Domains" sheetId="4" r:id="rId7"/>
    <sheet name="7. At-Risk Counties" sheetId="8" r:id="rId8"/>
    <sheet name="8. Example Formulas" sheetId="9" r:id="rId9"/>
  </sheets>
  <externalReferences>
    <externalReference r:id="rId10"/>
  </externalReferences>
  <definedNames>
    <definedName name="___At_Risk_Domains">'6. At-Risk Domains'!$A$1:$I$78</definedName>
    <definedName name="___Descriptive_Statistics">'3. Descriptive Statistics'!$B$1:$M$21</definedName>
    <definedName name="___Raw_Indicators">'4. Raw Indicators'!$A$1:$S$78</definedName>
    <definedName name="___Standardized_Indicators">'5. Standardized Indicators'!$A$1:$O$78</definedName>
    <definedName name="_xlnm._FilterDatabase" localSheetId="4" hidden="1">'4. Raw Indicators'!$O$1:$O$1048554</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47" i="3" l="1"/>
  <c r="L46" i="3"/>
  <c r="L78" i="3" l="1"/>
  <c r="L77" i="3"/>
  <c r="L76" i="3"/>
  <c r="L75" i="3"/>
  <c r="L74" i="3"/>
  <c r="L73" i="3"/>
  <c r="L71" i="3"/>
  <c r="L70" i="3"/>
  <c r="L69" i="3"/>
  <c r="L68" i="3"/>
  <c r="L67" i="3"/>
  <c r="L66" i="3"/>
  <c r="L65" i="3"/>
  <c r="L64" i="3"/>
  <c r="L63" i="3"/>
  <c r="L62" i="3"/>
  <c r="L61" i="3"/>
  <c r="L60" i="3"/>
  <c r="L59" i="3"/>
  <c r="L58" i="3"/>
  <c r="L57" i="3"/>
  <c r="L56" i="3"/>
  <c r="L55" i="3"/>
  <c r="L54" i="3"/>
  <c r="L53" i="3"/>
  <c r="L52" i="3"/>
  <c r="L51" i="3"/>
  <c r="L50" i="3"/>
  <c r="L49" i="3"/>
  <c r="L48" i="3"/>
  <c r="L44" i="3"/>
  <c r="L43" i="3"/>
  <c r="L42" i="3"/>
  <c r="L41" i="3"/>
  <c r="L40" i="3"/>
  <c r="L39" i="3"/>
  <c r="L38" i="3"/>
  <c r="L37" i="3"/>
  <c r="L36" i="3"/>
  <c r="L34" i="3"/>
  <c r="L33" i="3"/>
  <c r="L32" i="3"/>
  <c r="L31" i="3"/>
  <c r="L29" i="3"/>
  <c r="L27" i="3"/>
  <c r="L26" i="3"/>
  <c r="L25" i="3"/>
  <c r="L22" i="3"/>
  <c r="L21" i="3"/>
  <c r="L20" i="3"/>
  <c r="L19" i="3"/>
  <c r="L18" i="3"/>
  <c r="L17" i="3"/>
  <c r="L16" i="3"/>
  <c r="L15" i="3"/>
  <c r="L14" i="3"/>
  <c r="L13" i="3"/>
  <c r="L12" i="3"/>
  <c r="L11" i="3"/>
  <c r="L10" i="3"/>
  <c r="L9" i="3"/>
  <c r="L8" i="3"/>
  <c r="L7" i="3"/>
  <c r="L6" i="3"/>
  <c r="L5" i="3"/>
  <c r="L4" i="3"/>
  <c r="L2" i="3"/>
  <c r="B87" i="3" l="1"/>
  <c r="B86" i="3"/>
  <c r="B85" i="3"/>
  <c r="B84" i="3"/>
  <c r="B83" i="3"/>
  <c r="B82" i="3"/>
  <c r="B81" i="3"/>
  <c r="B80" i="3"/>
  <c r="B79" i="3"/>
  <c r="B135" i="3" l="1"/>
  <c r="B134" i="3"/>
  <c r="B133" i="3"/>
  <c r="B132" i="3"/>
  <c r="B131" i="3"/>
  <c r="B130" i="3"/>
  <c r="B129" i="3"/>
  <c r="B128" i="3"/>
  <c r="B127" i="3"/>
  <c r="B126" i="3"/>
  <c r="B125" i="3"/>
  <c r="B124" i="3"/>
  <c r="B123" i="3"/>
  <c r="B122" i="3"/>
  <c r="B121" i="3"/>
  <c r="B120" i="3"/>
  <c r="B119" i="3"/>
  <c r="B118" i="3"/>
  <c r="B117" i="3"/>
  <c r="B116" i="3"/>
  <c r="B115" i="3"/>
  <c r="B114" i="3"/>
  <c r="B113" i="3"/>
  <c r="B112" i="3"/>
  <c r="B111" i="3"/>
  <c r="B110" i="3"/>
  <c r="B109" i="3"/>
  <c r="B108" i="3"/>
  <c r="B107" i="3"/>
  <c r="B106" i="3"/>
  <c r="B105" i="3"/>
  <c r="B104" i="3"/>
  <c r="B103" i="3"/>
  <c r="B102" i="3"/>
  <c r="B101" i="3"/>
  <c r="B100" i="3"/>
  <c r="B99" i="3"/>
  <c r="B98" i="3"/>
  <c r="B97" i="3"/>
  <c r="B96" i="3"/>
  <c r="B95" i="3"/>
  <c r="B94" i="3"/>
  <c r="B92" i="3"/>
  <c r="B91" i="3"/>
  <c r="B90" i="3"/>
  <c r="B89" i="3"/>
  <c r="B136" i="3"/>
  <c r="B137" i="3"/>
  <c r="B138" i="3"/>
  <c r="B139" i="3"/>
  <c r="B140" i="3"/>
  <c r="B93" i="3"/>
  <c r="B88" i="3"/>
  <c r="B78" i="3"/>
  <c r="C3" i="9" l="1"/>
  <c r="E3" i="9" s="1"/>
  <c r="B3" i="9"/>
  <c r="D3" i="9" s="1"/>
  <c r="F3" i="9" s="1"/>
  <c r="G3" i="9" l="1"/>
  <c r="H3" i="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G1" authorId="0" shapeId="0" xr:uid="{00000000-0006-0000-0700-000001000000}">
      <text>
        <r>
          <rPr>
            <b/>
            <sz val="9"/>
            <color indexed="81"/>
            <rFont val="Tahoma"/>
            <family val="2"/>
          </rPr>
          <t>Author:</t>
        </r>
        <r>
          <rPr>
            <sz val="9"/>
            <color indexed="81"/>
            <rFont val="Tahoma"/>
            <family val="2"/>
          </rPr>
          <t xml:space="preserve">
If the at-risk community is smaller than a county, how will it be reflected - e.g. census tracts?</t>
        </r>
      </text>
    </comment>
  </commentList>
</comments>
</file>

<file path=xl/sharedStrings.xml><?xml version="1.0" encoding="utf-8"?>
<sst xmlns="http://schemas.openxmlformats.org/spreadsheetml/2006/main" count="810" uniqueCount="283">
  <si>
    <t>OMB No: 0906-0038</t>
  </si>
  <si>
    <t>Expiration Date: 11/30/2021</t>
  </si>
  <si>
    <r>
      <rPr>
        <b/>
        <sz val="18"/>
        <color theme="1"/>
        <rFont val="Calibri"/>
        <family val="2"/>
        <scheme val="minor"/>
      </rPr>
      <t>MIECHV Needs Assessment Data Summary
OKLAHOMA</t>
    </r>
    <r>
      <rPr>
        <b/>
        <sz val="14"/>
        <color theme="1"/>
        <rFont val="Calibri"/>
        <family val="2"/>
        <scheme val="minor"/>
      </rPr>
      <t xml:space="preserve">
</t>
    </r>
    <r>
      <rPr>
        <b/>
        <u/>
        <sz val="14"/>
        <color theme="1"/>
        <rFont val="Calibri"/>
        <family val="2"/>
        <scheme val="minor"/>
      </rPr>
      <t>Data Summary Contents</t>
    </r>
    <r>
      <rPr>
        <b/>
        <sz val="14"/>
        <color theme="1"/>
        <rFont val="Calibri"/>
        <family val="2"/>
        <scheme val="minor"/>
      </rPr>
      <t xml:space="preserve">
Table 1. Simplified Method Overview
Table 2. Description of Indicators
Table 3. Descriptive Statistics
Table 4. Raw Indicators
Table 5. Standardized Indicators
Table 6. At-Risk Domains
Table 7. At-Risk Counties
Table 8. Example Formulas
</t>
    </r>
  </si>
  <si>
    <t>Public Burden Statement:  An agency may not conduct or sponsor, and a person is not required to respond to, a collection of information unless it displays a currently valid OMB control number.  The OMB control number for this project is 0906-0038.  Public reporting burden for this collection of information is estimated to average 120 hours per response, including the time for reviewing instructions, searching existing data sources, and completing and reviewing the collection of information. Send comments regarding this burden estimate or any other aspect of this collection of information, including suggestions for reducing this burden, to HRSA Reports Clearance Officer, 5600 Fishers Lane, Room 14N136B, Rockville, Maryland, 20857.</t>
  </si>
  <si>
    <r>
      <t xml:space="preserve">Simplified Method Overview
</t>
    </r>
    <r>
      <rPr>
        <sz val="11"/>
        <color theme="1"/>
        <rFont val="Calibri"/>
        <family val="2"/>
        <scheme val="minor"/>
      </rPr>
      <t>Indicators were selected in collaboration with HRSA/MCHB to match as closely as possible the statutorily-defined</t>
    </r>
    <r>
      <rPr>
        <vertAlign val="superscript"/>
        <sz val="11"/>
        <color theme="1"/>
        <rFont val="Calibri"/>
        <family val="2"/>
        <scheme val="minor"/>
      </rPr>
      <t>1</t>
    </r>
    <r>
      <rPr>
        <sz val="11"/>
        <color theme="1"/>
        <rFont val="Calibri"/>
        <family val="2"/>
        <scheme val="minor"/>
      </rPr>
      <t xml:space="preserve"> criteria for identifying target communities for home visiting programs. We considered issues such as data availability and reliability of indicators at the county level when selecting the final indicator list. After selecting indicators, we grouped them according to five domains (Socioeconomic Status, Adverse Perinatal Outcomes, Substance Use Disorder, Crime, and Child Maltreatment).  The algorithm for identifying at-risk counties is as follows:
1. Obtain raw, county-level data for each indicator from the listed data source as defined in Tab 2. Description of Indicators.
2. Compute mean of counties and standard deviation (SD) for each indicator as well as other descriptive statistics (number of missing, range, etc.) (Tab 3. Descriptive Statistics).
3. Standardize indicator values (compute z-score) for each county so that all indicators have a mean of 0 and a SD of 1. Z-score = (county value - mean)/SD. (Tab 5. Standardized Indicators). 
4. Using the resulting z-scores for each county, calculate the proportion of indicators within each domain for which that county’s z-score was greater than 1, that is, the proportion of indicators for which a given county is in the ‘worst’ 16% of all counties in the state (16% is the percentage of values greater than 1 SD above the mean in the standard normal distribution). If at least half of the indicators within a domain have z-scores greater or equal to 1 SD higher than the mean, then a county is considered at-risk on that domain. The total number of domains at-risk (out of 5) is summed to capture the counties at highest risk across domains. Counties with 2 or more at-risk domains is identified as at-risk. (Tab 6. At-Risk Domains).
</t>
    </r>
    <r>
      <rPr>
        <vertAlign val="superscript"/>
        <sz val="11"/>
        <color theme="1"/>
        <rFont val="Calibri"/>
        <family val="2"/>
        <scheme val="minor"/>
      </rPr>
      <t>1</t>
    </r>
    <r>
      <rPr>
        <sz val="11"/>
        <color theme="1"/>
        <rFont val="Calibri"/>
        <family val="2"/>
        <scheme val="minor"/>
      </rPr>
      <t>Not included are indicators for infant mortality and domestic violence. Infant mortality was excluded from the Adverse Perinatal Outcomes domain because the level of suppression at the county level for 5-year aggregate data was too high for meaningful inclusion (all but 13 states have &gt;50% of counties with suppressed data).  Preterm and low birth weight births together are the second largest cause of infant mortality. Given that the other two indicators in the domain are direct precursors of infant mortality, we evaluated the extent to which similar counties were identified when infant mortality rate was included or excluded (among counties with non-suppressed data). The level of suppression for preterm birth and low birthweight was also substantial for individual year data. Thus, we compiled 3-yr and 5-yr aggregated data to obtain reliable estimates for smaller counties. Domestic violence was excluded because there are no national sources available with county-level data for domestic violence.</t>
    </r>
  </si>
  <si>
    <t>Domain</t>
  </si>
  <si>
    <t>Indicator</t>
  </si>
  <si>
    <t>Indicator Definition</t>
  </si>
  <si>
    <t>Alignment with statute definition of at-risk communities</t>
  </si>
  <si>
    <t>Year</t>
  </si>
  <si>
    <t>Source</t>
  </si>
  <si>
    <t>Source Link</t>
  </si>
  <si>
    <t>Source Notes</t>
  </si>
  <si>
    <t>Next Update</t>
  </si>
  <si>
    <t>Socioeconomic Status (SES)</t>
  </si>
  <si>
    <t>Poverty</t>
  </si>
  <si>
    <t>% population living below %100 FPL</t>
  </si>
  <si>
    <t>Census Small Area Income and Poverty Estimates</t>
  </si>
  <si>
    <t>https://www.census.gov/data/datasets/2017/demo/saipe/2017-state-and-county.html</t>
  </si>
  <si>
    <t>2018 data available in 2019</t>
  </si>
  <si>
    <t>Unemployment</t>
  </si>
  <si>
    <t>Unemployed percent of the civilian labor force</t>
  </si>
  <si>
    <t>Bureau of Labor Statistics</t>
  </si>
  <si>
    <t>https://www.bls.gov/lau/#cntyaa</t>
  </si>
  <si>
    <t>HS Dropout</t>
  </si>
  <si>
    <t>% of 16-19 year olds not enrolled in school with no high school diploma</t>
  </si>
  <si>
    <t>High school dropouts</t>
  </si>
  <si>
    <t>American Community Survey</t>
  </si>
  <si>
    <t>https://factfinder.census.gov</t>
  </si>
  <si>
    <t>1 year estimates used for counties with populations &gt;65,000; 5 year estimate used for counties with populations &lt;65,000</t>
  </si>
  <si>
    <t>2013-2017</t>
  </si>
  <si>
    <t>2013-2017 OR 2017</t>
  </si>
  <si>
    <t>Income Inequality</t>
  </si>
  <si>
    <t>Gini Coefficient - 1 Yr Estimate</t>
  </si>
  <si>
    <t>N/A</t>
  </si>
  <si>
    <t>Gini Coefficient - 5 Yr Estimate</t>
  </si>
  <si>
    <t>Gini Coefficient - 1 Yr or 5 Yr Estimate</t>
  </si>
  <si>
    <t>Adverse Perinatal Outcomes</t>
  </si>
  <si>
    <t>Preterm Birth</t>
  </si>
  <si>
    <t>% live births &lt;37 weeks</t>
  </si>
  <si>
    <t>Premature birth, low-birth weight infants, and infant mortality, including infant death due to neglect or other indicators of at-risk prenatal, maternal, newborn, or child health</t>
  </si>
  <si>
    <t>NVSS - Raw Natality File</t>
  </si>
  <si>
    <t>File received by HRSA</t>
  </si>
  <si>
    <t>Births &lt;10 were suppressed; the mean of counties was inputted for counties with missing data</t>
  </si>
  <si>
    <t>Low Birth Weight</t>
  </si>
  <si>
    <t>% live births &lt;2500 g</t>
  </si>
  <si>
    <t>Substance Use Disorder</t>
  </si>
  <si>
    <t>Alcohol</t>
  </si>
  <si>
    <t xml:space="preserve">Prevalence rate: Binge alcohol use in past month </t>
  </si>
  <si>
    <t>Substance abuse</t>
  </si>
  <si>
    <t>2012-2014</t>
  </si>
  <si>
    <t>SAMHSA - National Survey of Drug Use and Health</t>
  </si>
  <si>
    <t>https://www.samhsa.gov/data/population-data-nsduh/reports?tab=38</t>
  </si>
  <si>
    <t xml:space="preserve">County estimates are inputted using the estimate for the Substance Abuse Treatment Planning Region in which they belong. Nonmedical use of pain relievers refer to any form of prescription pain
relievers that were not prescribed for the person or that the person took only for the experience or feeling they caused. </t>
  </si>
  <si>
    <t>Unknown</t>
  </si>
  <si>
    <t>Marijuana</t>
  </si>
  <si>
    <t xml:space="preserve">Prevalence rate: Marijuana use in past month </t>
  </si>
  <si>
    <t>2014-2016</t>
  </si>
  <si>
    <t>Illicit Drugs</t>
  </si>
  <si>
    <t>Prevalence rate: Use of illicit drugs, excluding Marijuana, in past month</t>
  </si>
  <si>
    <t>Pain Relievers</t>
  </si>
  <si>
    <t>Prevalence rate: Nonmedical use of pain medication in past year</t>
  </si>
  <si>
    <t>Unintentional Drug Overdose Deaths</t>
  </si>
  <si>
    <t>Unintentional Drug Overdose Death</t>
  </si>
  <si>
    <t>Rate of unintented drug overdose deaths</t>
  </si>
  <si>
    <t>Drug overdose deaths</t>
  </si>
  <si>
    <t>2014-2018</t>
  </si>
  <si>
    <t>OSDH Injury Prevention Service</t>
  </si>
  <si>
    <t>Injury Prevention Service, Oklahoma State Department of Health</t>
  </si>
  <si>
    <t>County data from injury surveillance</t>
  </si>
  <si>
    <t>Crime</t>
  </si>
  <si>
    <t>Crime Reports</t>
  </si>
  <si>
    <t># reported crimes/1000 residents</t>
  </si>
  <si>
    <t>Institute for Social Research - National Archive of Criminal Justice Data</t>
  </si>
  <si>
    <t>https://www.icpsr.umich.edu/icpsrweb/NACJD/studies/37059</t>
  </si>
  <si>
    <t>Used county population count from ICPSR - NACJD, not PEP</t>
  </si>
  <si>
    <t>Juvenile Arrests</t>
  </si>
  <si>
    <t># crime arrests ages 0-17/100,000 juveniles aged 0-17</t>
  </si>
  <si>
    <t>https://www.icpsr.umich.edu/icpsrweb/NACJD/studies/37056</t>
  </si>
  <si>
    <t>Used county population of 0-17 year olds from PEP</t>
  </si>
  <si>
    <t>Child Maltreatment</t>
  </si>
  <si>
    <t>Rate of maltreatment victims aged &lt;1-17 per 1,000 child (aged &lt;1-17) residents</t>
  </si>
  <si>
    <t>Child maltreatment</t>
  </si>
  <si>
    <t>ACF</t>
  </si>
  <si>
    <t>2017 data available in 2019</t>
  </si>
  <si>
    <t>Missing (n)</t>
  </si>
  <si>
    <t>Missing %</t>
  </si>
  <si>
    <t>Mean of Counties</t>
  </si>
  <si>
    <t>SD</t>
  </si>
  <si>
    <t>Median</t>
  </si>
  <si>
    <t>Interquartile Range</t>
  </si>
  <si>
    <t>Min</t>
  </si>
  <si>
    <t>Max</t>
  </si>
  <si>
    <t>State Estimate</t>
  </si>
  <si>
    <t>Other Notes</t>
  </si>
  <si>
    <t>Population</t>
  </si>
  <si>
    <t>2017 Population</t>
  </si>
  <si>
    <t># of people living in an area</t>
  </si>
  <si>
    <t>Socioeconomic Status</t>
  </si>
  <si>
    <t xml:space="preserve">Poverty, separated by zip code area </t>
  </si>
  <si>
    <t>% population living below %100 FPL, separated by zip code area for Carter and Oklahoma counties</t>
  </si>
  <si>
    <t>HS dropout</t>
  </si>
  <si>
    <t>% of 16-19 year olds not enrolled in school with no high school diploma - 1 Yr Estimate</t>
  </si>
  <si>
    <t>% of 16-19 year olds not enrolled in school with no high school diploma - 5 Yr Estimate</t>
  </si>
  <si>
    <t>% of 16-19 year olds not enrolled in school with no high school diploma - 1 Yr or 5 Yr Estimate</t>
  </si>
  <si>
    <t>Low Birth Rate</t>
  </si>
  <si>
    <t>Marijuana 2016</t>
  </si>
  <si>
    <t>Unintended Drug Overdose deaths</t>
  </si>
  <si>
    <t>Unint Drug OD deaths</t>
  </si>
  <si>
    <t>Rate of unintentional drug overdose deaths</t>
  </si>
  <si>
    <t>County</t>
  </si>
  <si>
    <t>HS dropout 1 Yr</t>
  </si>
  <si>
    <t>HS dropout 5 Yr</t>
  </si>
  <si>
    <t>Income Inequality 1 Yr</t>
  </si>
  <si>
    <t>Income Inequality 5 Yr</t>
  </si>
  <si>
    <t>OD Deaths</t>
  </si>
  <si>
    <t>Adair County</t>
  </si>
  <si>
    <t>Alfalfa County</t>
  </si>
  <si>
    <t>Atoka County</t>
  </si>
  <si>
    <t>Beaver County</t>
  </si>
  <si>
    <t>Beckham County</t>
  </si>
  <si>
    <t>Blaine County</t>
  </si>
  <si>
    <t>Bryan County</t>
  </si>
  <si>
    <t>Caddo County</t>
  </si>
  <si>
    <t>Canadian County</t>
  </si>
  <si>
    <t>Carter County</t>
  </si>
  <si>
    <t>Cherokee County</t>
  </si>
  <si>
    <t>Choctaw County</t>
  </si>
  <si>
    <t>Cimarron County</t>
  </si>
  <si>
    <t>Cleveland County</t>
  </si>
  <si>
    <t>Coal County</t>
  </si>
  <si>
    <t>Comanche County</t>
  </si>
  <si>
    <t>Cotton County</t>
  </si>
  <si>
    <t>Craig County</t>
  </si>
  <si>
    <t>Creek County</t>
  </si>
  <si>
    <t>Custer County</t>
  </si>
  <si>
    <t>Delaware County</t>
  </si>
  <si>
    <t>Dewey County</t>
  </si>
  <si>
    <t>Ellis County</t>
  </si>
  <si>
    <t>Garfield County</t>
  </si>
  <si>
    <t>Garvin County</t>
  </si>
  <si>
    <t>Grady County</t>
  </si>
  <si>
    <t>Grant County</t>
  </si>
  <si>
    <t>Greer County</t>
  </si>
  <si>
    <t>Harmon County</t>
  </si>
  <si>
    <t>Harper County</t>
  </si>
  <si>
    <t>Haskell County</t>
  </si>
  <si>
    <t>Hughes County</t>
  </si>
  <si>
    <t>Jackson County</t>
  </si>
  <si>
    <t>Jefferson County</t>
  </si>
  <si>
    <t>Johnston County</t>
  </si>
  <si>
    <t>Kay County</t>
  </si>
  <si>
    <t>Kingfisher County</t>
  </si>
  <si>
    <t>Kiowa County</t>
  </si>
  <si>
    <t>Latimer County</t>
  </si>
  <si>
    <t>Le Flore County</t>
  </si>
  <si>
    <t>Lincoln County</t>
  </si>
  <si>
    <t>Logan County</t>
  </si>
  <si>
    <t>Love County</t>
  </si>
  <si>
    <t>Major County</t>
  </si>
  <si>
    <t>Marshall County</t>
  </si>
  <si>
    <t>Mayes County</t>
  </si>
  <si>
    <t>McClain County</t>
  </si>
  <si>
    <t>McCurtain County</t>
  </si>
  <si>
    <t>McIntosh County</t>
  </si>
  <si>
    <t>Murray County</t>
  </si>
  <si>
    <t>Muskogee County</t>
  </si>
  <si>
    <t>Noble County</t>
  </si>
  <si>
    <t>Nowata County</t>
  </si>
  <si>
    <t>Okfuskee County</t>
  </si>
  <si>
    <t>Oklahoma County</t>
  </si>
  <si>
    <t>Okmulgee County</t>
  </si>
  <si>
    <t>Osage County</t>
  </si>
  <si>
    <t>Ottawa County</t>
  </si>
  <si>
    <t>Pawnee County</t>
  </si>
  <si>
    <t>Payne County</t>
  </si>
  <si>
    <t>Pittsburg County</t>
  </si>
  <si>
    <t>Pontotoc County</t>
  </si>
  <si>
    <t>Pottawatomie County</t>
  </si>
  <si>
    <t>Pushmataha County</t>
  </si>
  <si>
    <t>Roger Mills County</t>
  </si>
  <si>
    <t>Rogers County</t>
  </si>
  <si>
    <t>Seminole County</t>
  </si>
  <si>
    <t>Sequoyah County</t>
  </si>
  <si>
    <t>Stephens County</t>
  </si>
  <si>
    <t>Texas County</t>
  </si>
  <si>
    <t>Tillman County</t>
  </si>
  <si>
    <t>Tulsa County</t>
  </si>
  <si>
    <t>Wagoner County</t>
  </si>
  <si>
    <t>Washington County</t>
  </si>
  <si>
    <t>Washita County</t>
  </si>
  <si>
    <t>Woods County</t>
  </si>
  <si>
    <t>Woodward County</t>
  </si>
  <si>
    <t>Carter County ZIP Code 73401</t>
  </si>
  <si>
    <t>Carter County ZIP Code 73437</t>
  </si>
  <si>
    <t>Carter County ZIP Code 73438</t>
  </si>
  <si>
    <t>Carter County ZIP Code 73443</t>
  </si>
  <si>
    <t>Carter County ZIP Code 73444</t>
  </si>
  <si>
    <t>Carter County ZIP Code 73458</t>
  </si>
  <si>
    <t>Carter County ZIP Code 73463</t>
  </si>
  <si>
    <t>Carter County ZIP Code 73481</t>
  </si>
  <si>
    <t>Carter County ZIP Code 73487</t>
  </si>
  <si>
    <t>Oklahoma County ZIP Code 73003</t>
  </si>
  <si>
    <t>Oklahoma County ZIP Code 73007</t>
  </si>
  <si>
    <t>Oklahoma County ZIP Code 73008</t>
  </si>
  <si>
    <t>Oklahoma County ZIP Code 73012</t>
  </si>
  <si>
    <t>Oklahoma County ZIP Code 73013</t>
  </si>
  <si>
    <t>Oklahoma County ZIP Code 73020</t>
  </si>
  <si>
    <t>Oklahoma County ZIP Code 73025</t>
  </si>
  <si>
    <t>Oklahoma County ZIP Code 73034</t>
  </si>
  <si>
    <t>Oklahoma County ZIP Code 73045</t>
  </si>
  <si>
    <t>Oklahoma County ZIP Code 73049</t>
  </si>
  <si>
    <t>Oklahoma County ZIP Code 73054</t>
  </si>
  <si>
    <t>Oklahoma County ZIP Code 73066</t>
  </si>
  <si>
    <t>Oklahoma County ZIP Code 73084</t>
  </si>
  <si>
    <t>Oklahoma County ZIP Code 73102</t>
  </si>
  <si>
    <t>Oklahoma County ZIP Code 73103</t>
  </si>
  <si>
    <t>Oklahoma County ZIP Code 73104</t>
  </si>
  <si>
    <t>Oklahoma County ZIP Code 73105</t>
  </si>
  <si>
    <t>Oklahoma County ZIP Code 73106</t>
  </si>
  <si>
    <t>Oklahoma County ZIP Code 73107</t>
  </si>
  <si>
    <t>Oklahoma County ZIP Code 73108</t>
  </si>
  <si>
    <t>Oklahoma County ZIP Code 73109</t>
  </si>
  <si>
    <t>Oklahoma County ZIP Code 73110</t>
  </si>
  <si>
    <t>Oklahoma County ZIP Code 73111</t>
  </si>
  <si>
    <t>Oklahoma County ZIP Code 73112</t>
  </si>
  <si>
    <t>Oklahoma County ZIP Code 73114</t>
  </si>
  <si>
    <t>Oklahoma County ZIP Code 73115</t>
  </si>
  <si>
    <t>Oklahoma County ZIP Code 73116</t>
  </si>
  <si>
    <t>Oklahoma County ZIP Code 73117</t>
  </si>
  <si>
    <t>Oklahoma County ZIP Code 73118</t>
  </si>
  <si>
    <t>Oklahoma County ZIP Code 73119</t>
  </si>
  <si>
    <t>Oklahoma County ZIP Code 73120</t>
  </si>
  <si>
    <t>Oklahoma County ZIP Code 73121</t>
  </si>
  <si>
    <t>Oklahoma County ZIP Code 73122</t>
  </si>
  <si>
    <t>Oklahoma County ZIP Code 73127</t>
  </si>
  <si>
    <t>Oklahoma County ZIP Code 73128</t>
  </si>
  <si>
    <t>Oklahoma County ZIP Code 73129</t>
  </si>
  <si>
    <t>Oklahoma County ZIP Code 73130</t>
  </si>
  <si>
    <t>Oklahoma County ZIP Code 73131</t>
  </si>
  <si>
    <t>Oklahoma County ZIP Code 73132</t>
  </si>
  <si>
    <t>Oklahoma County ZIP Code 73134</t>
  </si>
  <si>
    <t>Oklahoma County ZIP Code 73135</t>
  </si>
  <si>
    <t>Oklahoma County ZIP Code 73139</t>
  </si>
  <si>
    <t>Oklahoma County ZIP Code 73141</t>
  </si>
  <si>
    <t>Oklahoma County ZIP Code 73142</t>
  </si>
  <si>
    <t>Oklahoma County ZIP Code 73145</t>
  </si>
  <si>
    <t>Oklahoma County ZIP Code 73149</t>
  </si>
  <si>
    <t>Oklahoma County ZIP Code 73150</t>
  </si>
  <si>
    <t>Oklahoma County ZIP Code 73151</t>
  </si>
  <si>
    <t>Oklahoma County ZIP Code 73159</t>
  </si>
  <si>
    <t>Oklahoma County ZIP Code 73162</t>
  </si>
  <si>
    <t>Oklahoma County ZIP Code 73169</t>
  </si>
  <si>
    <t>Oklahoma County ZIP Code 73173</t>
  </si>
  <si>
    <t>Oklahoma County ZIP Code 73179</t>
  </si>
  <si>
    <t>SES</t>
  </si>
  <si>
    <t>Drug Overdose Deaths</t>
  </si>
  <si>
    <t>Number of At Risk Domains</t>
  </si>
  <si>
    <t>Carter County Zip Code 73401</t>
  </si>
  <si>
    <t>At-Risk Counties</t>
  </si>
  <si>
    <t xml:space="preserve">The county is served, in whole or in part, by at least one home visiting program (Yes or No or Not Sure) </t>
  </si>
  <si>
    <t>The county is served, in whole or in part, by at least one home visiting program that implements evidence-based home visiting service delivery models eligible for implementation by MIECHV (Yes or No or Not Sure)</t>
  </si>
  <si>
    <t>The county is served, in whole or in part, by home visiting programs which are    funded by MIECHV (Yes or No or Not Sure)</t>
  </si>
  <si>
    <t xml:space="preserve">Estimated number of families served by a home visiting program located in the county in the most recently completed program fiscal year </t>
  </si>
  <si>
    <t>Estimate of  need in the county (data provided by HRSA)</t>
  </si>
  <si>
    <r>
      <rPr>
        <b/>
        <sz val="11"/>
        <color rgb="FFFF0000"/>
        <rFont val="Calibri"/>
        <family val="2"/>
        <scheme val="minor"/>
      </rPr>
      <t>Optional:</t>
    </r>
    <r>
      <rPr>
        <b/>
        <sz val="11"/>
        <color theme="0"/>
        <rFont val="Calibri"/>
        <family val="2"/>
        <scheme val="minor"/>
      </rPr>
      <t xml:space="preserve"> Alternate estimated need of eligible families in the county as defined by the </t>
    </r>
    <r>
      <rPr>
        <b/>
        <sz val="11"/>
        <color rgb="FFFF0000"/>
        <rFont val="Calibri"/>
        <family val="2"/>
        <scheme val="minor"/>
      </rPr>
      <t>awardee</t>
    </r>
  </si>
  <si>
    <r>
      <rPr>
        <b/>
        <sz val="11"/>
        <color rgb="FFFF0000"/>
        <rFont val="Calibri"/>
        <family val="2"/>
        <scheme val="minor"/>
      </rPr>
      <t>Optional:</t>
    </r>
    <r>
      <rPr>
        <b/>
        <sz val="11"/>
        <color theme="0"/>
        <rFont val="Calibri"/>
        <family val="2"/>
        <scheme val="minor"/>
      </rPr>
      <t xml:space="preserve"> In home visiting programs located in the county, percentage of home visitor positions that were vacant in the most recently completed program fiscal year</t>
    </r>
  </si>
  <si>
    <t>Yes</t>
  </si>
  <si>
    <t>No</t>
  </si>
  <si>
    <t xml:space="preserve">No </t>
  </si>
  <si>
    <t>Geographic Location</t>
  </si>
  <si>
    <t>Standardized Indicator Values</t>
  </si>
  <si>
    <r>
      <t xml:space="preserve">Standardized Indicator Value </t>
    </r>
    <r>
      <rPr>
        <sz val="11"/>
        <rFont val="Calibri"/>
        <family val="2"/>
      </rPr>
      <t>≥1</t>
    </r>
  </si>
  <si>
    <r>
      <t xml:space="preserve">Proportion of Standardized Indicator Values </t>
    </r>
    <r>
      <rPr>
        <sz val="11"/>
        <rFont val="Calibri"/>
        <family val="2"/>
      </rPr>
      <t>≥</t>
    </r>
    <r>
      <rPr>
        <sz val="10.8"/>
        <rFont val="Calibri"/>
        <family val="2"/>
      </rPr>
      <t>1</t>
    </r>
  </si>
  <si>
    <r>
      <t xml:space="preserve">Proportion of High Standardized Indicator Values </t>
    </r>
    <r>
      <rPr>
        <sz val="11"/>
        <rFont val="Calibri"/>
        <family val="2"/>
      </rPr>
      <t>≥</t>
    </r>
    <r>
      <rPr>
        <sz val="10.8"/>
        <rFont val="Calibri"/>
        <family val="2"/>
      </rPr>
      <t>0.5</t>
    </r>
  </si>
  <si>
    <t>Number of At-Risk Domains</t>
  </si>
  <si>
    <t>At-Risk Domains</t>
  </si>
  <si>
    <t>[Insert County or Geography Name]</t>
  </si>
  <si>
    <t>These formulas can be used to standardize (ie calculate z-scores) for each of the cleaned, raw indicator values.  The EXCEL formula is '=STANDARDIZE(value, mean, SD). The mean and standard deviation should be calculated based on the raw values for all counties/geographic locations.</t>
  </si>
  <si>
    <r>
      <t xml:space="preserve">This formula returns a value of 1 if the standardized indicator value is </t>
    </r>
    <r>
      <rPr>
        <sz val="11"/>
        <color theme="1"/>
        <rFont val="Calibri"/>
        <family val="2"/>
      </rPr>
      <t>≥</t>
    </r>
    <r>
      <rPr>
        <sz val="10.8"/>
        <color theme="1"/>
        <rFont val="Calibri"/>
        <family val="2"/>
      </rPr>
      <t>1 and returns a value of 0 if the standardized indicator value is &lt;1.</t>
    </r>
  </si>
  <si>
    <r>
      <t xml:space="preserve">This formula calculations the proportion of standardized indicators with values </t>
    </r>
    <r>
      <rPr>
        <sz val="11"/>
        <color theme="1"/>
        <rFont val="Calibri"/>
        <family val="2"/>
      </rPr>
      <t>≥</t>
    </r>
    <r>
      <rPr>
        <sz val="10.8"/>
        <color theme="1"/>
        <rFont val="Calibri"/>
        <family val="2"/>
      </rPr>
      <t>1 within a domain. If new indicators are added to a domain, they should be added to this formula.</t>
    </r>
  </si>
  <si>
    <r>
      <t xml:space="preserve">This formula returns a value of 1 if the proportion of standardized indicators with values </t>
    </r>
    <r>
      <rPr>
        <sz val="11"/>
        <color theme="1"/>
        <rFont val="Calibri"/>
        <family val="2"/>
      </rPr>
      <t>≥</t>
    </r>
    <r>
      <rPr>
        <sz val="10.8"/>
        <color theme="1"/>
        <rFont val="Calibri"/>
        <family val="2"/>
      </rPr>
      <t>1 is 0.5 or more and returns a 0 if the proportion is &lt;0.5.  A value of 1 denotes the domain is considered at-risk.</t>
    </r>
  </si>
  <si>
    <t>This formula sums the number of at-risk domains.  Counties or geographic locations with 2 or more at-risk domains may be considered at-risk.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</si>
</sst>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font>
      <sz val="11"/>
      <color theme="1"/>
      <name val="Calibri"/>
      <family val="2"/>
      <scheme val="minor"/>
    </font>
    <font>
      <b/>
      <sz val="11"/>
      <color theme="0"/>
      <name val="Calibri"/>
      <family val="2"/>
      <scheme val="minor"/>
    </font>
    <font>
      <b/>
      <sz val="11"/>
      <color theme="1"/>
      <name val="Calibri"/>
      <family val="2"/>
      <scheme val="minor"/>
    </font>
    <font>
      <sz val="9"/>
      <color theme="1"/>
      <name val="Calibri"/>
      <family val="2"/>
      <scheme val="minor"/>
    </font>
    <font>
      <sz val="11"/>
      <color rgb="FF000000"/>
      <name val="Calibri"/>
      <family val="2"/>
      <scheme val="minor"/>
    </font>
    <font>
      <sz val="11"/>
      <name val="Calibri"/>
      <family val="2"/>
    </font>
    <font>
      <u/>
      <sz val="11"/>
      <color rgb="FF0563C1"/>
      <name val="Calibri"/>
      <family val="2"/>
    </font>
    <font>
      <b/>
      <u/>
      <sz val="16"/>
      <color theme="1"/>
      <name val="Calibri"/>
      <family val="2"/>
      <scheme val="minor"/>
    </font>
    <font>
      <vertAlign val="superscript"/>
      <sz val="11"/>
      <color theme="1"/>
      <name val="Calibri"/>
      <family val="2"/>
      <scheme val="minor"/>
    </font>
    <font>
      <b/>
      <sz val="14"/>
      <color theme="1"/>
      <name val="Calibri"/>
      <family val="2"/>
      <scheme val="minor"/>
    </font>
    <font>
      <b/>
      <sz val="18"/>
      <color theme="1"/>
      <name val="Calibri"/>
      <family val="2"/>
      <scheme val="minor"/>
    </font>
    <font>
      <b/>
      <u/>
      <sz val="14"/>
      <color theme="1"/>
      <name val="Calibri"/>
      <family val="2"/>
      <scheme val="minor"/>
    </font>
    <font>
      <b/>
      <sz val="11"/>
      <color rgb="FFFF0000"/>
      <name val="Calibri"/>
      <family val="2"/>
      <scheme val="minor"/>
    </font>
    <font>
      <b/>
      <sz val="9"/>
      <color indexed="81"/>
      <name val="Tahoma"/>
      <family val="2"/>
    </font>
    <font>
      <sz val="9"/>
      <color indexed="81"/>
      <name val="Tahoma"/>
      <family val="2"/>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sz val="11"/>
      <name val="Calibri"/>
      <family val="2"/>
      <scheme val="minor"/>
    </font>
    <font>
      <sz val="10.8"/>
      <name val="Calibri"/>
      <family val="2"/>
    </font>
    <font>
      <sz val="11"/>
      <color theme="1"/>
      <name val="Calibri"/>
      <family val="2"/>
    </font>
    <font>
      <sz val="10.8"/>
      <color theme="1"/>
      <name val="Calibri"/>
      <family val="2"/>
    </font>
    <font>
      <sz val="12"/>
      <color theme="1"/>
      <name val="Calibri"/>
      <family val="2"/>
      <scheme val="minor"/>
    </font>
  </fonts>
  <fills count="24">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theme="6" tint="0.59999389629810485"/>
        <bgColor indexed="64"/>
      </patternFill>
    </fill>
    <fill>
      <patternFill patternType="solid">
        <fgColor theme="5" tint="0.59999389629810485"/>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7" tint="0.59999389629810485"/>
        <bgColor indexed="64"/>
      </patternFill>
    </fill>
    <fill>
      <patternFill patternType="solid">
        <fgColor theme="9"/>
        <bgColor indexed="64"/>
      </patternFill>
    </fill>
    <fill>
      <patternFill patternType="solid">
        <fgColor theme="1"/>
        <bgColor theme="1"/>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theme="8" tint="0.59999389629810485"/>
        <bgColor indexed="64"/>
      </patternFill>
    </fill>
    <fill>
      <patternFill patternType="solid">
        <fgColor rgb="FFCC66FF"/>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rgb="FFFFE699"/>
        <bgColor indexed="64"/>
      </patternFill>
    </fill>
    <fill>
      <patternFill patternType="solid">
        <fgColor rgb="FFFFFF00"/>
        <bgColor indexed="64"/>
      </patternFill>
    </fill>
    <fill>
      <patternFill patternType="solid">
        <fgColor theme="3" tint="0.79998168889431442"/>
        <bgColor indexed="64"/>
      </patternFill>
    </fill>
    <fill>
      <patternFill patternType="solid">
        <fgColor theme="6" tint="0.79998168889431442"/>
        <bgColor indexed="64"/>
      </patternFill>
    </fill>
    <fill>
      <patternFill patternType="solid">
        <fgColor theme="9" tint="0.79998168889431442"/>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indexed="64"/>
      </top>
      <bottom/>
      <diagonal/>
    </border>
    <border>
      <left style="thin">
        <color theme="1"/>
      </left>
      <right/>
      <top style="medium">
        <color theme="1"/>
      </top>
      <bottom/>
      <diagonal/>
    </border>
    <border>
      <left style="thin">
        <color rgb="FF7F7F7F"/>
      </left>
      <right style="thin">
        <color rgb="FF7F7F7F"/>
      </right>
      <top style="thin">
        <color rgb="FF7F7F7F"/>
      </top>
      <bottom style="thin">
        <color rgb="FF7F7F7F"/>
      </bottom>
      <diagonal/>
    </border>
    <border>
      <left/>
      <right/>
      <top style="thin">
        <color rgb="FF7F7F7F"/>
      </top>
      <bottom style="thin">
        <color rgb="FF7F7F7F"/>
      </bottom>
      <diagonal/>
    </border>
    <border>
      <left style="thin">
        <color auto="1"/>
      </left>
      <right/>
      <top/>
      <bottom/>
      <diagonal/>
    </border>
    <border>
      <left style="thin">
        <color theme="1"/>
      </left>
      <right/>
      <top/>
      <bottom/>
      <diagonal/>
    </border>
    <border>
      <left/>
      <right style="thin">
        <color indexed="64"/>
      </right>
      <top style="thin">
        <color indexed="64"/>
      </top>
      <bottom/>
      <diagonal/>
    </border>
    <border>
      <left/>
      <right style="thin">
        <color auto="1"/>
      </right>
      <top/>
      <bottom/>
      <diagonal/>
    </border>
    <border>
      <left style="thin">
        <color indexed="64"/>
      </left>
      <right/>
      <top style="thin">
        <color indexed="64"/>
      </top>
      <bottom/>
      <diagonal/>
    </border>
    <border>
      <left/>
      <right/>
      <top/>
      <bottom style="thin">
        <color auto="1"/>
      </bottom>
      <diagonal/>
    </border>
    <border>
      <left/>
      <right style="thin">
        <color indexed="64"/>
      </right>
      <top/>
      <bottom style="thin">
        <color indexed="64"/>
      </bottom>
      <diagonal/>
    </border>
    <border>
      <left style="thin">
        <color indexed="64"/>
      </left>
      <right/>
      <top/>
      <bottom style="thin">
        <color indexed="64"/>
      </bottom>
      <diagonal/>
    </border>
  </borders>
  <cellStyleXfs count="6">
    <xf numFmtId="0" fontId="0" fillId="0" borderId="0"/>
    <xf numFmtId="0" fontId="6" fillId="0" borderId="0" applyNumberFormat="0" applyFill="0" applyBorder="0" applyAlignment="0" applyProtection="0"/>
    <xf numFmtId="0" fontId="15" fillId="11" borderId="0" applyNumberFormat="0" applyBorder="0" applyAlignment="0" applyProtection="0"/>
    <xf numFmtId="0" fontId="16" fillId="12" borderId="0" applyNumberFormat="0" applyBorder="0" applyAlignment="0" applyProtection="0"/>
    <xf numFmtId="0" fontId="17" fillId="13" borderId="0" applyNumberFormat="0" applyBorder="0" applyAlignment="0" applyProtection="0"/>
    <xf numFmtId="0" fontId="18" fillId="14" borderId="7" applyNumberFormat="0" applyAlignment="0" applyProtection="0"/>
  </cellStyleXfs>
  <cellXfs count="201">
    <xf numFmtId="0" fontId="0" fillId="0" borderId="0" xfId="0"/>
    <xf numFmtId="0" fontId="1" fillId="2" borderId="1" xfId="0" applyFont="1" applyFill="1" applyBorder="1" applyAlignment="1">
      <alignment horizontal="left" vertical="top"/>
    </xf>
    <xf numFmtId="0" fontId="1" fillId="2" borderId="1" xfId="0" applyFont="1" applyFill="1" applyBorder="1" applyAlignment="1">
      <alignment horizontal="left" vertical="top" wrapText="1"/>
    </xf>
    <xf numFmtId="0" fontId="1" fillId="2" borderId="0" xfId="0" applyFont="1" applyFill="1" applyBorder="1" applyAlignment="1">
      <alignment horizontal="left" vertical="top" wrapText="1"/>
    </xf>
    <xf numFmtId="0" fontId="0" fillId="4" borderId="1" xfId="0" applyFill="1" applyBorder="1" applyAlignment="1">
      <alignment horizontal="left" vertical="top"/>
    </xf>
    <xf numFmtId="0" fontId="0" fillId="4" borderId="0" xfId="0" applyFill="1" applyAlignment="1">
      <alignment wrapText="1"/>
    </xf>
    <xf numFmtId="0" fontId="0" fillId="5" borderId="1" xfId="0" applyFill="1" applyBorder="1" applyAlignment="1">
      <alignment horizontal="left" vertical="top"/>
    </xf>
    <xf numFmtId="0" fontId="0" fillId="5" borderId="1" xfId="0" applyFill="1" applyBorder="1" applyAlignment="1">
      <alignment horizontal="left" vertical="top" wrapText="1"/>
    </xf>
    <xf numFmtId="0" fontId="0" fillId="6" borderId="1" xfId="0" applyFill="1" applyBorder="1" applyAlignment="1">
      <alignment horizontal="left" vertical="top"/>
    </xf>
    <xf numFmtId="0" fontId="0" fillId="7" borderId="1" xfId="0" applyFill="1" applyBorder="1" applyAlignment="1">
      <alignment horizontal="left" vertical="top" wrapText="1"/>
    </xf>
    <xf numFmtId="0" fontId="0" fillId="7" borderId="1" xfId="0" applyFill="1" applyBorder="1" applyAlignment="1">
      <alignment horizontal="left" vertical="top"/>
    </xf>
    <xf numFmtId="0" fontId="5" fillId="7" borderId="1" xfId="0" applyFont="1" applyFill="1" applyBorder="1" applyAlignment="1">
      <alignment horizontal="left" vertical="top" wrapText="1"/>
    </xf>
    <xf numFmtId="0" fontId="0" fillId="7" borderId="1" xfId="0" applyFill="1" applyBorder="1" applyAlignment="1">
      <alignment wrapText="1"/>
    </xf>
    <xf numFmtId="0" fontId="0" fillId="7" borderId="0" xfId="0" applyFill="1" applyAlignment="1">
      <alignment wrapText="1"/>
    </xf>
    <xf numFmtId="0" fontId="2" fillId="8" borderId="1" xfId="0" applyFont="1" applyFill="1" applyBorder="1" applyAlignment="1">
      <alignment horizontal="left" vertical="top"/>
    </xf>
    <xf numFmtId="0" fontId="0" fillId="8" borderId="1" xfId="0" applyFill="1" applyBorder="1" applyAlignment="1">
      <alignment horizontal="left" vertical="top" wrapText="1"/>
    </xf>
    <xf numFmtId="0" fontId="0" fillId="8" borderId="1" xfId="0" applyFill="1" applyBorder="1" applyAlignment="1">
      <alignment horizontal="left" vertical="top"/>
    </xf>
    <xf numFmtId="0" fontId="0" fillId="0" borderId="0" xfId="0" applyAlignment="1">
      <alignment horizontal="left" vertical="top"/>
    </xf>
    <xf numFmtId="0" fontId="6" fillId="0" borderId="0" xfId="1" applyAlignment="1">
      <alignment horizontal="left" vertical="top" wrapText="1"/>
    </xf>
    <xf numFmtId="0" fontId="0" fillId="6" borderId="0" xfId="0" applyFill="1"/>
    <xf numFmtId="0" fontId="7" fillId="6" borderId="0" xfId="0" applyFont="1" applyFill="1" applyAlignment="1">
      <alignment vertical="top" wrapText="1"/>
    </xf>
    <xf numFmtId="0" fontId="2" fillId="6" borderId="0" xfId="0" applyFont="1" applyFill="1" applyAlignment="1">
      <alignment vertical="top" wrapText="1"/>
    </xf>
    <xf numFmtId="0" fontId="0" fillId="9" borderId="0" xfId="0" applyFill="1"/>
    <xf numFmtId="0" fontId="1" fillId="10" borderId="6" xfId="0" applyFont="1" applyFill="1" applyBorder="1" applyAlignment="1">
      <alignment horizontal="center" vertical="top"/>
    </xf>
    <xf numFmtId="0" fontId="1" fillId="2" borderId="0" xfId="0" applyFont="1" applyFill="1" applyAlignment="1">
      <alignment horizontal="left" vertical="top" wrapText="1"/>
    </xf>
    <xf numFmtId="0" fontId="1" fillId="2" borderId="0" xfId="0" applyFont="1" applyFill="1" applyAlignment="1">
      <alignment vertical="top" wrapText="1"/>
    </xf>
    <xf numFmtId="0" fontId="0" fillId="0" borderId="0" xfId="0" applyAlignment="1">
      <alignment vertical="top"/>
    </xf>
    <xf numFmtId="0" fontId="0" fillId="0" borderId="1" xfId="0" applyBorder="1"/>
    <xf numFmtId="0" fontId="19" fillId="14" borderId="7" xfId="5" applyFont="1" applyAlignment="1">
      <alignment horizontal="center"/>
    </xf>
    <xf numFmtId="0" fontId="19" fillId="12" borderId="1" xfId="3" applyFont="1" applyBorder="1" applyAlignment="1">
      <alignment horizontal="center"/>
    </xf>
    <xf numFmtId="0" fontId="19" fillId="13" borderId="1" xfId="4" applyFont="1" applyBorder="1" applyAlignment="1">
      <alignment horizontal="center"/>
    </xf>
    <xf numFmtId="0" fontId="0" fillId="16" borderId="1" xfId="0" applyFill="1" applyBorder="1"/>
    <xf numFmtId="0" fontId="1" fillId="10" borderId="6" xfId="0" applyFont="1" applyFill="1" applyBorder="1" applyAlignment="1">
      <alignment horizontal="center"/>
    </xf>
    <xf numFmtId="0" fontId="1" fillId="10" borderId="9" xfId="0" applyFont="1" applyFill="1" applyBorder="1" applyAlignment="1">
      <alignment horizontal="center" wrapText="1"/>
    </xf>
    <xf numFmtId="0" fontId="1" fillId="10" borderId="10" xfId="0" applyFont="1" applyFill="1" applyBorder="1" applyAlignment="1">
      <alignment horizontal="center" wrapText="1"/>
    </xf>
    <xf numFmtId="0" fontId="1" fillId="10" borderId="9" xfId="0" applyFont="1" applyFill="1" applyBorder="1" applyAlignment="1">
      <alignment horizontal="center"/>
    </xf>
    <xf numFmtId="0" fontId="1" fillId="10" borderId="10" xfId="0" applyFont="1" applyFill="1" applyBorder="1" applyAlignment="1">
      <alignment horizontal="center"/>
    </xf>
    <xf numFmtId="0" fontId="1" fillId="2" borderId="0" xfId="0" applyFont="1" applyFill="1" applyAlignment="1">
      <alignment horizontal="center"/>
    </xf>
    <xf numFmtId="0" fontId="2" fillId="0" borderId="0" xfId="0" applyFont="1"/>
    <xf numFmtId="0" fontId="0" fillId="0" borderId="1" xfId="0" quotePrefix="1" applyFont="1" applyFill="1" applyBorder="1"/>
    <xf numFmtId="0" fontId="0" fillId="0" borderId="1" xfId="0" quotePrefix="1" applyFont="1" applyFill="1" applyBorder="1" applyAlignment="1">
      <alignment wrapText="1"/>
    </xf>
    <xf numFmtId="2" fontId="0" fillId="0" borderId="1" xfId="0" quotePrefix="1" applyNumberFormat="1" applyFont="1" applyFill="1" applyBorder="1" applyAlignment="1">
      <alignment horizontal="center"/>
    </xf>
    <xf numFmtId="2" fontId="0" fillId="0" borderId="1" xfId="0" quotePrefix="1" applyNumberFormat="1" applyBorder="1"/>
    <xf numFmtId="2" fontId="0" fillId="0" borderId="1" xfId="0" quotePrefix="1" applyNumberFormat="1" applyFill="1" applyBorder="1"/>
    <xf numFmtId="2" fontId="0" fillId="0" borderId="1" xfId="0" applyNumberFormat="1" applyBorder="1"/>
    <xf numFmtId="0" fontId="18" fillId="14" borderId="11" xfId="5" applyBorder="1"/>
    <xf numFmtId="0" fontId="0" fillId="15" borderId="0" xfId="0" applyFill="1" applyAlignment="1">
      <alignment wrapText="1"/>
    </xf>
    <xf numFmtId="164" fontId="15" fillId="11" borderId="0" xfId="2" applyNumberFormat="1" applyAlignment="1">
      <alignment horizontal="center"/>
    </xf>
    <xf numFmtId="0" fontId="16" fillId="12" borderId="0" xfId="3"/>
    <xf numFmtId="0" fontId="17" fillId="13" borderId="0" xfId="4"/>
    <xf numFmtId="0" fontId="0" fillId="16" borderId="0" xfId="0" applyFill="1"/>
    <xf numFmtId="0" fontId="18" fillId="14" borderId="12" xfId="5" applyBorder="1"/>
    <xf numFmtId="0" fontId="0" fillId="15" borderId="0" xfId="0" applyFill="1" applyBorder="1" applyAlignment="1">
      <alignment vertical="top" wrapText="1"/>
    </xf>
    <xf numFmtId="0" fontId="0" fillId="15" borderId="11" xfId="0" applyFill="1" applyBorder="1" applyAlignment="1">
      <alignment vertical="top" wrapText="1"/>
    </xf>
    <xf numFmtId="0" fontId="0" fillId="15" borderId="12" xfId="0" applyFill="1" applyBorder="1" applyAlignment="1">
      <alignment vertical="top" wrapText="1"/>
    </xf>
    <xf numFmtId="0" fontId="15" fillId="11" borderId="13" xfId="2" applyBorder="1" applyAlignment="1">
      <alignment vertical="top" wrapText="1"/>
    </xf>
    <xf numFmtId="0" fontId="15" fillId="11" borderId="11" xfId="2" applyBorder="1" applyAlignment="1">
      <alignment vertical="top" wrapText="1"/>
    </xf>
    <xf numFmtId="0" fontId="15" fillId="11" borderId="9" xfId="2" applyBorder="1" applyAlignment="1">
      <alignment vertical="top" wrapText="1"/>
    </xf>
    <xf numFmtId="0" fontId="15" fillId="11" borderId="12" xfId="2" applyBorder="1" applyAlignment="1">
      <alignment vertical="top" wrapText="1"/>
    </xf>
    <xf numFmtId="0" fontId="16" fillId="12" borderId="2" xfId="3" applyBorder="1" applyAlignment="1">
      <alignment vertical="top" wrapText="1"/>
    </xf>
    <xf numFmtId="0" fontId="17" fillId="13" borderId="2" xfId="4" applyBorder="1" applyAlignment="1">
      <alignment vertical="top" wrapText="1"/>
    </xf>
    <xf numFmtId="0" fontId="0" fillId="15" borderId="12" xfId="0" applyFill="1" applyBorder="1" applyAlignment="1">
      <alignment wrapText="1"/>
    </xf>
    <xf numFmtId="0" fontId="15" fillId="11" borderId="9" xfId="2" applyBorder="1"/>
    <xf numFmtId="0" fontId="15" fillId="11" borderId="12" xfId="2" applyBorder="1"/>
    <xf numFmtId="0" fontId="16" fillId="12" borderId="3" xfId="3" applyBorder="1" applyAlignment="1">
      <alignment vertical="top" wrapText="1"/>
    </xf>
    <xf numFmtId="0" fontId="17" fillId="13" borderId="3" xfId="4" applyBorder="1" applyAlignment="1">
      <alignment vertical="top" wrapText="1"/>
    </xf>
    <xf numFmtId="0" fontId="15" fillId="11" borderId="9" xfId="2" applyBorder="1" applyAlignment="1">
      <alignment horizontal="center"/>
    </xf>
    <xf numFmtId="0" fontId="15" fillId="11" borderId="12" xfId="2" applyBorder="1" applyAlignment="1">
      <alignment horizontal="center"/>
    </xf>
    <xf numFmtId="0" fontId="17" fillId="13" borderId="3" xfId="4" applyBorder="1"/>
    <xf numFmtId="0" fontId="0" fillId="16" borderId="2" xfId="0" applyFill="1" applyBorder="1" applyAlignment="1">
      <alignment vertical="top" wrapText="1"/>
    </xf>
    <xf numFmtId="0" fontId="16" fillId="12" borderId="3" xfId="3" applyBorder="1"/>
    <xf numFmtId="0" fontId="0" fillId="16" borderId="3" xfId="0" applyFill="1" applyBorder="1" applyAlignment="1">
      <alignment vertical="top" wrapText="1"/>
    </xf>
    <xf numFmtId="0" fontId="0" fillId="16" borderId="3" xfId="0" applyFill="1" applyBorder="1"/>
    <xf numFmtId="0" fontId="18" fillId="14" borderId="15" xfId="5" applyBorder="1"/>
    <xf numFmtId="0" fontId="0" fillId="15" borderId="14" xfId="0" applyFill="1" applyBorder="1" applyAlignment="1">
      <alignment wrapText="1"/>
    </xf>
    <xf numFmtId="0" fontId="0" fillId="15" borderId="15" xfId="0" applyFill="1" applyBorder="1" applyAlignment="1">
      <alignment wrapText="1"/>
    </xf>
    <xf numFmtId="0" fontId="15" fillId="11" borderId="16" xfId="2" applyBorder="1"/>
    <xf numFmtId="0" fontId="15" fillId="11" borderId="15" xfId="2" applyBorder="1"/>
    <xf numFmtId="0" fontId="16" fillId="12" borderId="4" xfId="3" applyBorder="1"/>
    <xf numFmtId="0" fontId="17" fillId="13" borderId="4" xfId="4" applyBorder="1"/>
    <xf numFmtId="0" fontId="0" fillId="16" borderId="4" xfId="0" applyFill="1" applyBorder="1"/>
    <xf numFmtId="0" fontId="0" fillId="0" borderId="0" xfId="0" applyAlignment="1">
      <alignment wrapText="1"/>
    </xf>
    <xf numFmtId="0" fontId="1" fillId="2" borderId="1" xfId="0" applyFont="1" applyFill="1" applyBorder="1" applyAlignment="1">
      <alignment horizontal="center" vertical="center"/>
    </xf>
    <xf numFmtId="0" fontId="1" fillId="2" borderId="1" xfId="0" applyFont="1" applyFill="1" applyBorder="1" applyAlignment="1">
      <alignment horizontal="center" vertical="center" wrapText="1"/>
    </xf>
    <xf numFmtId="0" fontId="0" fillId="5" borderId="1" xfId="0" applyFill="1" applyBorder="1"/>
    <xf numFmtId="0" fontId="0" fillId="5" borderId="1" xfId="0" applyFill="1" applyBorder="1" applyAlignment="1">
      <alignment wrapText="1"/>
    </xf>
    <xf numFmtId="0" fontId="0" fillId="5" borderId="1" xfId="0" applyFill="1" applyBorder="1" applyAlignment="1">
      <alignment horizontal="center" vertical="top"/>
    </xf>
    <xf numFmtId="0" fontId="0" fillId="17" borderId="1" xfId="0" applyFill="1" applyBorder="1"/>
    <xf numFmtId="0" fontId="0" fillId="17" borderId="1" xfId="0" applyFill="1" applyBorder="1" applyAlignment="1">
      <alignment wrapText="1"/>
    </xf>
    <xf numFmtId="0" fontId="0" fillId="17" borderId="1" xfId="0" applyFill="1" applyBorder="1" applyAlignment="1">
      <alignment horizontal="center" vertical="top"/>
    </xf>
    <xf numFmtId="0" fontId="0" fillId="6" borderId="1" xfId="0" applyFill="1" applyBorder="1"/>
    <xf numFmtId="0" fontId="0" fillId="6" borderId="1" xfId="0" applyFill="1" applyBorder="1" applyAlignment="1">
      <alignment wrapText="1"/>
    </xf>
    <xf numFmtId="0" fontId="0" fillId="6" borderId="1" xfId="0" applyFill="1" applyBorder="1" applyAlignment="1">
      <alignment horizontal="center" vertical="top"/>
    </xf>
    <xf numFmtId="0" fontId="0" fillId="4" borderId="1" xfId="0" applyFill="1" applyBorder="1"/>
    <xf numFmtId="0" fontId="0" fillId="4" borderId="1" xfId="0" applyFill="1" applyBorder="1" applyAlignment="1">
      <alignment wrapText="1"/>
    </xf>
    <xf numFmtId="0" fontId="0" fillId="4" borderId="1" xfId="0" applyFill="1" applyBorder="1" applyAlignment="1">
      <alignment horizontal="center" vertical="top"/>
    </xf>
    <xf numFmtId="0" fontId="0" fillId="18" borderId="1" xfId="0" applyFill="1" applyBorder="1"/>
    <xf numFmtId="0" fontId="0" fillId="18" borderId="1" xfId="0" applyFill="1" applyBorder="1" applyAlignment="1">
      <alignment wrapText="1"/>
    </xf>
    <xf numFmtId="0" fontId="0" fillId="18" borderId="1" xfId="0" applyFill="1" applyBorder="1" applyAlignment="1">
      <alignment horizontal="center" vertical="top"/>
    </xf>
    <xf numFmtId="0" fontId="0" fillId="19" borderId="1" xfId="0" applyFill="1" applyBorder="1" applyAlignment="1">
      <alignment horizontal="left" vertical="top"/>
    </xf>
    <xf numFmtId="0" fontId="0" fillId="19" borderId="1" xfId="0" applyFill="1" applyBorder="1"/>
    <xf numFmtId="0" fontId="0" fillId="19" borderId="1" xfId="0" applyFill="1" applyBorder="1" applyAlignment="1">
      <alignment wrapText="1"/>
    </xf>
    <xf numFmtId="0" fontId="0" fillId="19" borderId="1" xfId="0" applyFill="1" applyBorder="1" applyAlignment="1">
      <alignment horizontal="center" vertical="top"/>
    </xf>
    <xf numFmtId="0" fontId="0" fillId="0" borderId="0" xfId="0" applyAlignment="1">
      <alignment horizontal="center"/>
    </xf>
    <xf numFmtId="0" fontId="0" fillId="0" borderId="0" xfId="0" applyAlignment="1">
      <alignment horizontal="center" vertical="center"/>
    </xf>
    <xf numFmtId="164" fontId="0" fillId="5" borderId="1" xfId="0" applyNumberFormat="1" applyFill="1" applyBorder="1"/>
    <xf numFmtId="164" fontId="0" fillId="17" borderId="1" xfId="0" applyNumberFormat="1" applyFill="1" applyBorder="1"/>
    <xf numFmtId="164" fontId="0" fillId="6" borderId="1" xfId="0" applyNumberFormat="1" applyFill="1" applyBorder="1"/>
    <xf numFmtId="164" fontId="0" fillId="4" borderId="1" xfId="0" applyNumberFormat="1" applyFill="1" applyBorder="1"/>
    <xf numFmtId="164" fontId="0" fillId="18" borderId="1" xfId="0" applyNumberFormat="1" applyFill="1" applyBorder="1"/>
    <xf numFmtId="164" fontId="0" fillId="19" borderId="1" xfId="0" applyNumberFormat="1" applyFill="1" applyBorder="1"/>
    <xf numFmtId="164" fontId="0" fillId="0" borderId="0" xfId="0" applyNumberFormat="1" applyAlignment="1">
      <alignment horizontal="center"/>
    </xf>
    <xf numFmtId="164" fontId="0" fillId="0" borderId="0" xfId="0" applyNumberFormat="1"/>
    <xf numFmtId="0" fontId="3" fillId="3" borderId="9" xfId="0" applyFont="1" applyFill="1" applyBorder="1" applyAlignment="1">
      <alignment vertical="center"/>
    </xf>
    <xf numFmtId="0" fontId="3" fillId="3" borderId="0" xfId="0" applyFont="1" applyFill="1" applyAlignment="1">
      <alignment vertical="center"/>
    </xf>
    <xf numFmtId="0" fontId="3" fillId="3" borderId="9" xfId="0" applyFont="1" applyFill="1" applyBorder="1" applyAlignment="1"/>
    <xf numFmtId="0" fontId="3" fillId="3" borderId="0" xfId="0" applyFont="1" applyFill="1" applyAlignment="1"/>
    <xf numFmtId="0" fontId="0" fillId="20" borderId="0" xfId="0" applyFill="1" applyAlignment="1">
      <alignment horizontal="center"/>
    </xf>
    <xf numFmtId="0" fontId="0" fillId="21" borderId="0" xfId="0" applyFill="1" applyAlignment="1">
      <alignment horizontal="center"/>
    </xf>
    <xf numFmtId="0" fontId="0" fillId="22" borderId="0" xfId="0" applyFill="1" applyAlignment="1">
      <alignment horizontal="center"/>
    </xf>
    <xf numFmtId="0" fontId="0" fillId="0" borderId="0" xfId="0" applyBorder="1"/>
    <xf numFmtId="0" fontId="0" fillId="0" borderId="0" xfId="0" applyFill="1"/>
    <xf numFmtId="164" fontId="0" fillId="0" borderId="0" xfId="0" applyNumberFormat="1" applyFill="1" applyAlignment="1">
      <alignment horizontal="center"/>
    </xf>
    <xf numFmtId="0" fontId="0" fillId="0" borderId="0" xfId="0" applyFill="1" applyAlignment="1">
      <alignment horizontal="center"/>
    </xf>
    <xf numFmtId="0" fontId="23" fillId="0" borderId="0" xfId="0" applyFont="1" applyFill="1" applyAlignment="1">
      <alignment horizontal="center" vertical="center"/>
    </xf>
    <xf numFmtId="164" fontId="23" fillId="0" borderId="0" xfId="0" applyNumberFormat="1" applyFont="1" applyFill="1" applyAlignment="1">
      <alignment horizontal="center" vertical="center"/>
    </xf>
    <xf numFmtId="0" fontId="0" fillId="6" borderId="1" xfId="0" applyFill="1" applyBorder="1" applyAlignment="1">
      <alignment horizontal="left" vertical="top" wrapText="1"/>
    </xf>
    <xf numFmtId="0" fontId="0" fillId="23" borderId="1" xfId="0" applyFill="1" applyBorder="1" applyAlignment="1">
      <alignment vertical="top" wrapText="1"/>
    </xf>
    <xf numFmtId="0" fontId="0" fillId="23" borderId="1" xfId="0" applyFill="1" applyBorder="1" applyAlignment="1">
      <alignment horizontal="left" vertical="top" wrapText="1"/>
    </xf>
    <xf numFmtId="0" fontId="2" fillId="23" borderId="1" xfId="0" applyFont="1" applyFill="1" applyBorder="1" applyAlignment="1">
      <alignment vertical="top" wrapText="1"/>
    </xf>
    <xf numFmtId="0" fontId="0" fillId="23" borderId="1" xfId="0" applyFill="1" applyBorder="1" applyAlignment="1">
      <alignment horizontal="left" vertical="top"/>
    </xf>
    <xf numFmtId="0" fontId="0" fillId="22" borderId="1" xfId="0" applyFill="1" applyBorder="1" applyAlignment="1">
      <alignment horizontal="left" vertical="top" wrapText="1"/>
    </xf>
    <xf numFmtId="0" fontId="0" fillId="22" borderId="1" xfId="0" applyFill="1" applyBorder="1"/>
    <xf numFmtId="0" fontId="0" fillId="22" borderId="1" xfId="0" applyFill="1" applyBorder="1" applyAlignment="1">
      <alignment wrapText="1"/>
    </xf>
    <xf numFmtId="0" fontId="0" fillId="22" borderId="1" xfId="0" applyFill="1" applyBorder="1" applyAlignment="1">
      <alignment horizontal="center" vertical="top"/>
    </xf>
    <xf numFmtId="164" fontId="0" fillId="22" borderId="1" xfId="0" applyNumberFormat="1" applyFill="1" applyBorder="1"/>
    <xf numFmtId="0" fontId="0" fillId="22" borderId="4" xfId="0" applyFill="1" applyBorder="1" applyAlignment="1">
      <alignment horizontal="center"/>
    </xf>
    <xf numFmtId="2" fontId="0" fillId="0" borderId="0" xfId="0" applyNumberFormat="1" applyAlignment="1">
      <alignment horizontal="center"/>
    </xf>
    <xf numFmtId="3" fontId="1" fillId="2" borderId="0" xfId="0" applyNumberFormat="1" applyFont="1" applyFill="1" applyAlignment="1">
      <alignment horizontal="center"/>
    </xf>
    <xf numFmtId="3" fontId="0" fillId="0" borderId="0" xfId="0" applyNumberFormat="1" applyAlignment="1">
      <alignment horizontal="center"/>
    </xf>
    <xf numFmtId="3" fontId="0" fillId="0" borderId="0" xfId="0" applyNumberFormat="1" applyFill="1" applyAlignment="1">
      <alignment horizontal="center"/>
    </xf>
    <xf numFmtId="3" fontId="0" fillId="0" borderId="0" xfId="0" applyNumberFormat="1"/>
    <xf numFmtId="0" fontId="0" fillId="4" borderId="1" xfId="0" applyFill="1" applyBorder="1" applyAlignment="1">
      <alignment horizontal="left" vertical="top" wrapText="1"/>
    </xf>
    <xf numFmtId="0" fontId="3" fillId="3" borderId="0" xfId="0" applyFont="1" applyFill="1" applyAlignment="1">
      <alignment horizontal="left"/>
    </xf>
    <xf numFmtId="0" fontId="9" fillId="0" borderId="5" xfId="0" applyFont="1" applyFill="1" applyBorder="1" applyAlignment="1">
      <alignment horizontal="left" vertical="top" wrapText="1"/>
    </xf>
    <xf numFmtId="0" fontId="9" fillId="0" borderId="0" xfId="0" applyFont="1" applyFill="1" applyBorder="1" applyAlignment="1">
      <alignment horizontal="left" vertical="top" wrapText="1"/>
    </xf>
    <xf numFmtId="0" fontId="0" fillId="3" borderId="0" xfId="0" applyFill="1" applyAlignment="1">
      <alignment horizontal="left" vertical="top" wrapText="1"/>
    </xf>
    <xf numFmtId="0" fontId="7" fillId="0" borderId="0" xfId="0" applyFont="1" applyFill="1" applyAlignment="1">
      <alignment horizontal="left" vertical="top" wrapText="1"/>
    </xf>
    <xf numFmtId="0" fontId="0" fillId="6" borderId="2" xfId="0" applyFill="1" applyBorder="1" applyAlignment="1">
      <alignment horizontal="left" vertical="top" wrapText="1"/>
    </xf>
    <xf numFmtId="0" fontId="0" fillId="6" borderId="3" xfId="0" applyFill="1" applyBorder="1" applyAlignment="1">
      <alignment horizontal="left" vertical="top" wrapText="1"/>
    </xf>
    <xf numFmtId="0" fontId="0" fillId="6" borderId="4" xfId="0" applyFill="1" applyBorder="1" applyAlignment="1">
      <alignment horizontal="left" vertical="top" wrapText="1"/>
    </xf>
    <xf numFmtId="0" fontId="2" fillId="5" borderId="1" xfId="0" applyFont="1" applyFill="1" applyBorder="1" applyAlignment="1">
      <alignment horizontal="left" vertical="top"/>
    </xf>
    <xf numFmtId="0" fontId="2" fillId="7" borderId="1" xfId="0" applyFont="1" applyFill="1" applyBorder="1" applyAlignment="1">
      <alignment horizontal="left" vertical="top"/>
    </xf>
    <xf numFmtId="0" fontId="0" fillId="7" borderId="2" xfId="0" applyFill="1" applyBorder="1" applyAlignment="1">
      <alignment horizontal="left" vertical="top" wrapText="1"/>
    </xf>
    <xf numFmtId="0" fontId="0" fillId="7" borderId="4" xfId="0" applyFill="1" applyBorder="1" applyAlignment="1">
      <alignment horizontal="left" vertical="top" wrapText="1"/>
    </xf>
    <xf numFmtId="0" fontId="2" fillId="6" borderId="2" xfId="0" applyFont="1" applyFill="1" applyBorder="1" applyAlignment="1">
      <alignment horizontal="left" vertical="top"/>
    </xf>
    <xf numFmtId="0" fontId="2" fillId="6" borderId="3" xfId="0" applyFont="1" applyFill="1" applyBorder="1" applyAlignment="1">
      <alignment horizontal="left" vertical="top"/>
    </xf>
    <xf numFmtId="0" fontId="2" fillId="6" borderId="4" xfId="0" applyFont="1" applyFill="1" applyBorder="1" applyAlignment="1">
      <alignment horizontal="left" vertical="top"/>
    </xf>
    <xf numFmtId="0" fontId="2" fillId="4" borderId="2" xfId="0" applyFont="1" applyFill="1" applyBorder="1" applyAlignment="1">
      <alignment horizontal="left" vertical="top"/>
    </xf>
    <xf numFmtId="0" fontId="2" fillId="4" borderId="3" xfId="0" applyFont="1" applyFill="1" applyBorder="1" applyAlignment="1">
      <alignment horizontal="left" vertical="top"/>
    </xf>
    <xf numFmtId="0" fontId="2" fillId="4" borderId="4" xfId="0" applyFont="1" applyFill="1" applyBorder="1" applyAlignment="1">
      <alignment horizontal="left" vertical="top"/>
    </xf>
    <xf numFmtId="0" fontId="0" fillId="4" borderId="1" xfId="0" applyFill="1" applyBorder="1" applyAlignment="1">
      <alignment horizontal="left" vertical="top" wrapText="1"/>
    </xf>
    <xf numFmtId="0" fontId="0" fillId="4" borderId="2" xfId="0" applyFill="1" applyBorder="1" applyAlignment="1">
      <alignment horizontal="left" vertical="top" wrapText="1"/>
    </xf>
    <xf numFmtId="0" fontId="0" fillId="4" borderId="3" xfId="0" applyFill="1" applyBorder="1" applyAlignment="1">
      <alignment horizontal="left" vertical="top" wrapText="1"/>
    </xf>
    <xf numFmtId="0" fontId="0" fillId="4" borderId="4" xfId="0" applyFill="1" applyBorder="1" applyAlignment="1">
      <alignment horizontal="left" vertical="top" wrapText="1"/>
    </xf>
    <xf numFmtId="0" fontId="4" fillId="4" borderId="1" xfId="0" applyFont="1" applyFill="1" applyBorder="1" applyAlignment="1">
      <alignment horizontal="left" vertical="top" wrapText="1"/>
    </xf>
    <xf numFmtId="0" fontId="3" fillId="3" borderId="9" xfId="0" applyFont="1" applyFill="1" applyBorder="1" applyAlignment="1">
      <alignment horizontal="center" vertical="center"/>
    </xf>
    <xf numFmtId="0" fontId="3" fillId="3" borderId="0" xfId="0" applyFont="1" applyFill="1" applyAlignment="1">
      <alignment horizontal="center" vertical="center"/>
    </xf>
    <xf numFmtId="0" fontId="3" fillId="3" borderId="9" xfId="0" applyFont="1" applyFill="1" applyBorder="1" applyAlignment="1">
      <alignment horizontal="left"/>
    </xf>
    <xf numFmtId="0" fontId="0" fillId="17" borderId="2" xfId="0" applyFill="1" applyBorder="1" applyAlignment="1">
      <alignment horizontal="center"/>
    </xf>
    <xf numFmtId="0" fontId="0" fillId="17" borderId="3" xfId="0" applyFill="1" applyBorder="1" applyAlignment="1">
      <alignment horizontal="center"/>
    </xf>
    <xf numFmtId="0" fontId="0" fillId="17" borderId="4" xfId="0" applyFill="1" applyBorder="1" applyAlignment="1">
      <alignment horizontal="center"/>
    </xf>
    <xf numFmtId="0" fontId="0" fillId="4" borderId="2" xfId="0" applyFill="1" applyBorder="1" applyAlignment="1">
      <alignment horizontal="center"/>
    </xf>
    <xf numFmtId="0" fontId="0" fillId="4" borderId="3" xfId="0" applyFill="1" applyBorder="1" applyAlignment="1">
      <alignment horizontal="center"/>
    </xf>
    <xf numFmtId="0" fontId="0" fillId="4" borderId="4" xfId="0" applyFill="1" applyBorder="1" applyAlignment="1">
      <alignment horizontal="center"/>
    </xf>
    <xf numFmtId="0" fontId="0" fillId="18" borderId="2" xfId="0" applyFill="1" applyBorder="1" applyAlignment="1">
      <alignment horizontal="left" vertical="top"/>
    </xf>
    <xf numFmtId="0" fontId="0" fillId="18" borderId="4" xfId="0" applyFill="1" applyBorder="1" applyAlignment="1">
      <alignment horizontal="left" vertical="top"/>
    </xf>
    <xf numFmtId="0" fontId="0" fillId="17" borderId="2" xfId="0" applyFill="1" applyBorder="1" applyAlignment="1">
      <alignment horizontal="left" vertical="top"/>
    </xf>
    <xf numFmtId="0" fontId="0" fillId="17" borderId="3" xfId="0" applyFill="1" applyBorder="1" applyAlignment="1">
      <alignment horizontal="left" vertical="top"/>
    </xf>
    <xf numFmtId="0" fontId="0" fillId="17" borderId="4" xfId="0" applyFill="1" applyBorder="1" applyAlignment="1">
      <alignment horizontal="left" vertical="top"/>
    </xf>
    <xf numFmtId="0" fontId="0" fillId="6" borderId="2" xfId="0" applyFill="1" applyBorder="1" applyAlignment="1">
      <alignment horizontal="left" vertical="top"/>
    </xf>
    <xf numFmtId="0" fontId="0" fillId="6" borderId="4" xfId="0" applyFill="1" applyBorder="1" applyAlignment="1">
      <alignment horizontal="left" vertical="top"/>
    </xf>
    <xf numFmtId="0" fontId="0" fillId="4" borderId="2" xfId="0" applyFill="1" applyBorder="1" applyAlignment="1">
      <alignment horizontal="left" vertical="top"/>
    </xf>
    <xf numFmtId="0" fontId="0" fillId="4" borderId="3" xfId="0" applyFill="1" applyBorder="1" applyAlignment="1">
      <alignment horizontal="left" vertical="top"/>
    </xf>
    <xf numFmtId="0" fontId="3" fillId="3" borderId="0" xfId="0" applyFont="1" applyFill="1" applyBorder="1" applyAlignment="1">
      <alignment horizontal="center" vertical="center"/>
    </xf>
    <xf numFmtId="0" fontId="3" fillId="3" borderId="0" xfId="0" applyFont="1" applyFill="1" applyBorder="1" applyAlignment="1">
      <alignment horizontal="left"/>
    </xf>
    <xf numFmtId="0" fontId="19" fillId="15" borderId="8" xfId="5" applyFont="1" applyFill="1" applyBorder="1" applyAlignment="1">
      <alignment horizontal="center" wrapText="1"/>
    </xf>
    <xf numFmtId="0" fontId="19" fillId="11" borderId="1" xfId="2" applyFont="1" applyBorder="1" applyAlignment="1">
      <alignment horizontal="center"/>
    </xf>
    <xf numFmtId="0" fontId="0" fillId="0" borderId="5" xfId="0" applyBorder="1" applyAlignment="1">
      <alignment horizontal="left" vertical="top" wrapText="1"/>
    </xf>
    <xf numFmtId="0" fontId="0" fillId="0" borderId="14" xfId="0" applyBorder="1" applyAlignment="1">
      <alignment horizontal="left" vertical="top" wrapText="1"/>
    </xf>
    <xf numFmtId="0" fontId="0" fillId="0" borderId="13" xfId="0" applyBorder="1" applyAlignment="1">
      <alignment horizontal="left" vertical="top" wrapText="1"/>
    </xf>
    <xf numFmtId="0" fontId="0" fillId="0" borderId="11" xfId="0" applyBorder="1" applyAlignment="1">
      <alignment horizontal="left" vertical="top" wrapText="1"/>
    </xf>
    <xf numFmtId="0" fontId="0" fillId="0" borderId="9" xfId="0" applyBorder="1" applyAlignment="1">
      <alignment horizontal="left" vertical="top" wrapText="1"/>
    </xf>
    <xf numFmtId="0" fontId="0" fillId="0" borderId="12" xfId="0" applyBorder="1" applyAlignment="1">
      <alignment horizontal="left" vertical="top" wrapText="1"/>
    </xf>
    <xf numFmtId="0" fontId="0" fillId="0" borderId="15" xfId="0" applyBorder="1" applyAlignment="1">
      <alignment horizontal="left" vertical="top" wrapText="1"/>
    </xf>
    <xf numFmtId="0" fontId="0" fillId="0" borderId="2" xfId="0" applyBorder="1" applyAlignment="1">
      <alignment horizontal="left" vertical="top" wrapText="1"/>
    </xf>
    <xf numFmtId="0" fontId="0" fillId="0" borderId="3" xfId="0" applyBorder="1" applyAlignment="1">
      <alignment horizontal="left" vertical="top" wrapText="1"/>
    </xf>
    <xf numFmtId="0" fontId="0" fillId="0" borderId="16" xfId="0" applyBorder="1" applyAlignment="1">
      <alignment horizontal="left" vertical="top" wrapText="1"/>
    </xf>
    <xf numFmtId="0" fontId="6" fillId="6" borderId="2" xfId="1" applyFill="1" applyBorder="1" applyAlignment="1">
      <alignment horizontal="left" vertical="top" wrapText="1"/>
    </xf>
    <xf numFmtId="0" fontId="6" fillId="6" borderId="3" xfId="1" applyFill="1" applyBorder="1" applyAlignment="1">
      <alignment horizontal="left" vertical="top" wrapText="1"/>
    </xf>
    <xf numFmtId="0" fontId="6" fillId="6" borderId="4" xfId="1" applyFill="1" applyBorder="1" applyAlignment="1">
      <alignment horizontal="left" vertical="top" wrapText="1"/>
    </xf>
  </cellXfs>
  <cellStyles count="6">
    <cellStyle name="Bad" xfId="3" builtinId="27"/>
    <cellStyle name="Good" xfId="2" builtinId="26"/>
    <cellStyle name="Hyperlink" xfId="1" builtinId="8"/>
    <cellStyle name="Input" xfId="5" builtinId="20"/>
    <cellStyle name="Neutral" xfId="4" builtinId="28"/>
    <cellStyle name="Normal" xfId="0" builtinId="0"/>
  </cellStyles>
  <dxfs count="6">
    <dxf>
      <font>
        <color auto="1"/>
      </font>
      <fill>
        <patternFill>
          <bgColor rgb="FFFFFF00"/>
        </patternFill>
      </fill>
    </dxf>
    <dxf>
      <fill>
        <patternFill>
          <bgColor theme="5" tint="0.59996337778862885"/>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rgb="FF9C57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HomeVisiting\SAS\Reports\Attachment%202%20-%20MIECHV%20Needs%20Assessment%20Data%20Summary_FINAL_120718.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Summary Contents"/>
      <sheetName val="1. Simplified Method Overview"/>
      <sheetName val="2. Description of Indicators"/>
      <sheetName val="3. Descriptive Statistics"/>
      <sheetName val="4. Raw Indicators"/>
      <sheetName val="5. Standardized Indicators"/>
      <sheetName val="6. At-Risk Domains"/>
      <sheetName val="7. At-Risk Counties"/>
      <sheetName val="8. Example Formulas"/>
    </sheetNames>
    <sheetDataSet>
      <sheetData sheetId="0"/>
      <sheetData sheetId="1"/>
      <sheetData sheetId="2"/>
      <sheetData sheetId="3">
        <row r="2">
          <cell r="G2">
            <v>0</v>
          </cell>
          <cell r="H2">
            <v>0</v>
          </cell>
        </row>
      </sheetData>
      <sheetData sheetId="4">
        <row r="2">
          <cell r="J2">
            <v>0</v>
          </cell>
          <cell r="K2">
            <v>0</v>
          </cell>
        </row>
      </sheetData>
      <sheetData sheetId="5"/>
      <sheetData sheetId="6"/>
      <sheetData sheetId="7"/>
      <sheetData sheetId="8"/>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samhsa.gov/data/population-data-nsduh/reports?tab=38"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B4:M35"/>
  <sheetViews>
    <sheetView topLeftCell="A11" zoomScale="85" zoomScaleNormal="85" workbookViewId="0">
      <selection activeCell="B7" sqref="B7:M26"/>
    </sheetView>
  </sheetViews>
  <sheetFormatPr defaultColWidth="9.140625" defaultRowHeight="14.45"/>
  <cols>
    <col min="1" max="12" width="9.140625" style="22"/>
    <col min="13" max="13" width="14.42578125" style="22" customWidth="1"/>
    <col min="14" max="16384" width="9.140625" style="22"/>
  </cols>
  <sheetData>
    <row r="4" spans="2:13">
      <c r="L4" s="143" t="s">
        <v>0</v>
      </c>
      <c r="M4" s="143"/>
    </row>
    <row r="5" spans="2:13">
      <c r="L5" s="143" t="s">
        <v>1</v>
      </c>
      <c r="M5" s="143"/>
    </row>
    <row r="7" spans="2:13" ht="15" customHeight="1">
      <c r="B7" s="144" t="s">
        <v>2</v>
      </c>
      <c r="C7" s="144"/>
      <c r="D7" s="144"/>
      <c r="E7" s="144"/>
      <c r="F7" s="144"/>
      <c r="G7" s="144"/>
      <c r="H7" s="144"/>
      <c r="I7" s="144"/>
      <c r="J7" s="144"/>
      <c r="K7" s="144"/>
      <c r="L7" s="144"/>
      <c r="M7" s="144"/>
    </row>
    <row r="8" spans="2:13" ht="15" customHeight="1">
      <c r="B8" s="145"/>
      <c r="C8" s="145"/>
      <c r="D8" s="145"/>
      <c r="E8" s="145"/>
      <c r="F8" s="145"/>
      <c r="G8" s="145"/>
      <c r="H8" s="145"/>
      <c r="I8" s="145"/>
      <c r="J8" s="145"/>
      <c r="K8" s="145"/>
      <c r="L8" s="145"/>
      <c r="M8" s="145"/>
    </row>
    <row r="9" spans="2:13" ht="15" customHeight="1">
      <c r="B9" s="145"/>
      <c r="C9" s="145"/>
      <c r="D9" s="145"/>
      <c r="E9" s="145"/>
      <c r="F9" s="145"/>
      <c r="G9" s="145"/>
      <c r="H9" s="145"/>
      <c r="I9" s="145"/>
      <c r="J9" s="145"/>
      <c r="K9" s="145"/>
      <c r="L9" s="145"/>
      <c r="M9" s="145"/>
    </row>
    <row r="10" spans="2:13" ht="15" customHeight="1">
      <c r="B10" s="145"/>
      <c r="C10" s="145"/>
      <c r="D10" s="145"/>
      <c r="E10" s="145"/>
      <c r="F10" s="145"/>
      <c r="G10" s="145"/>
      <c r="H10" s="145"/>
      <c r="I10" s="145"/>
      <c r="J10" s="145"/>
      <c r="K10" s="145"/>
      <c r="L10" s="145"/>
      <c r="M10" s="145"/>
    </row>
    <row r="11" spans="2:13" ht="15" customHeight="1">
      <c r="B11" s="145"/>
      <c r="C11" s="145"/>
      <c r="D11" s="145"/>
      <c r="E11" s="145"/>
      <c r="F11" s="145"/>
      <c r="G11" s="145"/>
      <c r="H11" s="145"/>
      <c r="I11" s="145"/>
      <c r="J11" s="145"/>
      <c r="K11" s="145"/>
      <c r="L11" s="145"/>
      <c r="M11" s="145"/>
    </row>
    <row r="12" spans="2:13" ht="15" customHeight="1">
      <c r="B12" s="145"/>
      <c r="C12" s="145"/>
      <c r="D12" s="145"/>
      <c r="E12" s="145"/>
      <c r="F12" s="145"/>
      <c r="G12" s="145"/>
      <c r="H12" s="145"/>
      <c r="I12" s="145"/>
      <c r="J12" s="145"/>
      <c r="K12" s="145"/>
      <c r="L12" s="145"/>
      <c r="M12" s="145"/>
    </row>
    <row r="13" spans="2:13" ht="15" customHeight="1">
      <c r="B13" s="145"/>
      <c r="C13" s="145"/>
      <c r="D13" s="145"/>
      <c r="E13" s="145"/>
      <c r="F13" s="145"/>
      <c r="G13" s="145"/>
      <c r="H13" s="145"/>
      <c r="I13" s="145"/>
      <c r="J13" s="145"/>
      <c r="K13" s="145"/>
      <c r="L13" s="145"/>
      <c r="M13" s="145"/>
    </row>
    <row r="14" spans="2:13" ht="15" customHeight="1">
      <c r="B14" s="145"/>
      <c r="C14" s="145"/>
      <c r="D14" s="145"/>
      <c r="E14" s="145"/>
      <c r="F14" s="145"/>
      <c r="G14" s="145"/>
      <c r="H14" s="145"/>
      <c r="I14" s="145"/>
      <c r="J14" s="145"/>
      <c r="K14" s="145"/>
      <c r="L14" s="145"/>
      <c r="M14" s="145"/>
    </row>
    <row r="15" spans="2:13" ht="15" customHeight="1">
      <c r="B15" s="145"/>
      <c r="C15" s="145"/>
      <c r="D15" s="145"/>
      <c r="E15" s="145"/>
      <c r="F15" s="145"/>
      <c r="G15" s="145"/>
      <c r="H15" s="145"/>
      <c r="I15" s="145"/>
      <c r="J15" s="145"/>
      <c r="K15" s="145"/>
      <c r="L15" s="145"/>
      <c r="M15" s="145"/>
    </row>
    <row r="16" spans="2:13" ht="15" customHeight="1">
      <c r="B16" s="145"/>
      <c r="C16" s="145"/>
      <c r="D16" s="145"/>
      <c r="E16" s="145"/>
      <c r="F16" s="145"/>
      <c r="G16" s="145"/>
      <c r="H16" s="145"/>
      <c r="I16" s="145"/>
      <c r="J16" s="145"/>
      <c r="K16" s="145"/>
      <c r="L16" s="145"/>
      <c r="M16" s="145"/>
    </row>
    <row r="17" spans="2:13" ht="15" customHeight="1">
      <c r="B17" s="145"/>
      <c r="C17" s="145"/>
      <c r="D17" s="145"/>
      <c r="E17" s="145"/>
      <c r="F17" s="145"/>
      <c r="G17" s="145"/>
      <c r="H17" s="145"/>
      <c r="I17" s="145"/>
      <c r="J17" s="145"/>
      <c r="K17" s="145"/>
      <c r="L17" s="145"/>
      <c r="M17" s="145"/>
    </row>
    <row r="18" spans="2:13" ht="15" customHeight="1">
      <c r="B18" s="145"/>
      <c r="C18" s="145"/>
      <c r="D18" s="145"/>
      <c r="E18" s="145"/>
      <c r="F18" s="145"/>
      <c r="G18" s="145"/>
      <c r="H18" s="145"/>
      <c r="I18" s="145"/>
      <c r="J18" s="145"/>
      <c r="K18" s="145"/>
      <c r="L18" s="145"/>
      <c r="M18" s="145"/>
    </row>
    <row r="19" spans="2:13" ht="15" customHeight="1">
      <c r="B19" s="145"/>
      <c r="C19" s="145"/>
      <c r="D19" s="145"/>
      <c r="E19" s="145"/>
      <c r="F19" s="145"/>
      <c r="G19" s="145"/>
      <c r="H19" s="145"/>
      <c r="I19" s="145"/>
      <c r="J19" s="145"/>
      <c r="K19" s="145"/>
      <c r="L19" s="145"/>
      <c r="M19" s="145"/>
    </row>
    <row r="20" spans="2:13" ht="15" customHeight="1">
      <c r="B20" s="145"/>
      <c r="C20" s="145"/>
      <c r="D20" s="145"/>
      <c r="E20" s="145"/>
      <c r="F20" s="145"/>
      <c r="G20" s="145"/>
      <c r="H20" s="145"/>
      <c r="I20" s="145"/>
      <c r="J20" s="145"/>
      <c r="K20" s="145"/>
      <c r="L20" s="145"/>
      <c r="M20" s="145"/>
    </row>
    <row r="21" spans="2:13" ht="15" customHeight="1">
      <c r="B21" s="145"/>
      <c r="C21" s="145"/>
      <c r="D21" s="145"/>
      <c r="E21" s="145"/>
      <c r="F21" s="145"/>
      <c r="G21" s="145"/>
      <c r="H21" s="145"/>
      <c r="I21" s="145"/>
      <c r="J21" s="145"/>
      <c r="K21" s="145"/>
      <c r="L21" s="145"/>
      <c r="M21" s="145"/>
    </row>
    <row r="22" spans="2:13" ht="15" customHeight="1">
      <c r="B22" s="145"/>
      <c r="C22" s="145"/>
      <c r="D22" s="145"/>
      <c r="E22" s="145"/>
      <c r="F22" s="145"/>
      <c r="G22" s="145"/>
      <c r="H22" s="145"/>
      <c r="I22" s="145"/>
      <c r="J22" s="145"/>
      <c r="K22" s="145"/>
      <c r="L22" s="145"/>
      <c r="M22" s="145"/>
    </row>
    <row r="23" spans="2:13" ht="15" customHeight="1">
      <c r="B23" s="145"/>
      <c r="C23" s="145"/>
      <c r="D23" s="145"/>
      <c r="E23" s="145"/>
      <c r="F23" s="145"/>
      <c r="G23" s="145"/>
      <c r="H23" s="145"/>
      <c r="I23" s="145"/>
      <c r="J23" s="145"/>
      <c r="K23" s="145"/>
      <c r="L23" s="145"/>
      <c r="M23" s="145"/>
    </row>
    <row r="24" spans="2:13" ht="15" customHeight="1">
      <c r="B24" s="145"/>
      <c r="C24" s="145"/>
      <c r="D24" s="145"/>
      <c r="E24" s="145"/>
      <c r="F24" s="145"/>
      <c r="G24" s="145"/>
      <c r="H24" s="145"/>
      <c r="I24" s="145"/>
      <c r="J24" s="145"/>
      <c r="K24" s="145"/>
      <c r="L24" s="145"/>
      <c r="M24" s="145"/>
    </row>
    <row r="25" spans="2:13" ht="15" customHeight="1">
      <c r="B25" s="145"/>
      <c r="C25" s="145"/>
      <c r="D25" s="145"/>
      <c r="E25" s="145"/>
      <c r="F25" s="145"/>
      <c r="G25" s="145"/>
      <c r="H25" s="145"/>
      <c r="I25" s="145"/>
      <c r="J25" s="145"/>
      <c r="K25" s="145"/>
      <c r="L25" s="145"/>
      <c r="M25" s="145"/>
    </row>
    <row r="26" spans="2:13">
      <c r="B26" s="145"/>
      <c r="C26" s="145"/>
      <c r="D26" s="145"/>
      <c r="E26" s="145"/>
      <c r="F26" s="145"/>
      <c r="G26" s="145"/>
      <c r="H26" s="145"/>
      <c r="I26" s="145"/>
      <c r="J26" s="145"/>
      <c r="K26" s="145"/>
      <c r="L26" s="145"/>
      <c r="M26" s="145"/>
    </row>
    <row r="30" spans="2:13" ht="15" customHeight="1">
      <c r="B30" s="146" t="s">
        <v>3</v>
      </c>
      <c r="C30" s="146"/>
      <c r="D30" s="146"/>
      <c r="E30" s="146"/>
      <c r="F30" s="146"/>
      <c r="G30" s="146"/>
      <c r="H30" s="146"/>
      <c r="I30" s="146"/>
      <c r="J30" s="146"/>
      <c r="K30" s="146"/>
      <c r="L30" s="146"/>
      <c r="M30" s="146"/>
    </row>
    <row r="31" spans="2:13">
      <c r="B31" s="146"/>
      <c r="C31" s="146"/>
      <c r="D31" s="146"/>
      <c r="E31" s="146"/>
      <c r="F31" s="146"/>
      <c r="G31" s="146"/>
      <c r="H31" s="146"/>
      <c r="I31" s="146"/>
      <c r="J31" s="146"/>
      <c r="K31" s="146"/>
      <c r="L31" s="146"/>
      <c r="M31" s="146"/>
    </row>
    <row r="32" spans="2:13">
      <c r="B32" s="146"/>
      <c r="C32" s="146"/>
      <c r="D32" s="146"/>
      <c r="E32" s="146"/>
      <c r="F32" s="146"/>
      <c r="G32" s="146"/>
      <c r="H32" s="146"/>
      <c r="I32" s="146"/>
      <c r="J32" s="146"/>
      <c r="K32" s="146"/>
      <c r="L32" s="146"/>
      <c r="M32" s="146"/>
    </row>
    <row r="33" spans="2:13">
      <c r="B33" s="146"/>
      <c r="C33" s="146"/>
      <c r="D33" s="146"/>
      <c r="E33" s="146"/>
      <c r="F33" s="146"/>
      <c r="G33" s="146"/>
      <c r="H33" s="146"/>
      <c r="I33" s="146"/>
      <c r="J33" s="146"/>
      <c r="K33" s="146"/>
      <c r="L33" s="146"/>
      <c r="M33" s="146"/>
    </row>
    <row r="34" spans="2:13">
      <c r="B34" s="146"/>
      <c r="C34" s="146"/>
      <c r="D34" s="146"/>
      <c r="E34" s="146"/>
      <c r="F34" s="146"/>
      <c r="G34" s="146"/>
      <c r="H34" s="146"/>
      <c r="I34" s="146"/>
      <c r="J34" s="146"/>
      <c r="K34" s="146"/>
      <c r="L34" s="146"/>
      <c r="M34" s="146"/>
    </row>
    <row r="35" spans="2:13">
      <c r="B35" s="146"/>
      <c r="C35" s="146"/>
      <c r="D35" s="146"/>
      <c r="E35" s="146"/>
      <c r="F35" s="146"/>
      <c r="G35" s="146"/>
      <c r="H35" s="146"/>
      <c r="I35" s="146"/>
      <c r="J35" s="146"/>
      <c r="K35" s="146"/>
      <c r="L35" s="146"/>
      <c r="M35" s="146"/>
    </row>
  </sheetData>
  <mergeCells count="4">
    <mergeCell ref="L4:M4"/>
    <mergeCell ref="L5:M5"/>
    <mergeCell ref="B7:M26"/>
    <mergeCell ref="B30:M35"/>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dimension ref="B1:T41"/>
  <sheetViews>
    <sheetView topLeftCell="A28" zoomScale="70" zoomScaleNormal="70" workbookViewId="0">
      <selection activeCell="B2" sqref="B2"/>
    </sheetView>
  </sheetViews>
  <sheetFormatPr defaultColWidth="9.140625" defaultRowHeight="14.45"/>
  <cols>
    <col min="1" max="15" width="9.140625" style="19"/>
    <col min="16" max="16" width="14.42578125" style="19" customWidth="1"/>
    <col min="17" max="16384" width="9.140625" style="19"/>
  </cols>
  <sheetData>
    <row r="1" spans="2:20">
      <c r="O1" s="143" t="s">
        <v>0</v>
      </c>
      <c r="P1" s="143"/>
    </row>
    <row r="2" spans="2:20" ht="15" customHeight="1">
      <c r="B2" s="147" t="s">
        <v>4</v>
      </c>
      <c r="C2" s="147"/>
      <c r="D2" s="147"/>
      <c r="E2" s="147"/>
      <c r="F2" s="147"/>
      <c r="G2" s="147"/>
      <c r="H2" s="147"/>
      <c r="I2" s="147"/>
      <c r="J2" s="147"/>
      <c r="K2" s="147"/>
      <c r="L2" s="147"/>
      <c r="M2" s="147"/>
      <c r="N2" s="147"/>
      <c r="O2" s="143" t="s">
        <v>1</v>
      </c>
      <c r="P2" s="143"/>
      <c r="Q2" s="20"/>
      <c r="R2" s="20"/>
      <c r="S2" s="20"/>
      <c r="T2" s="20"/>
    </row>
    <row r="3" spans="2:20" ht="14.45" customHeight="1">
      <c r="B3" s="147"/>
      <c r="C3" s="147"/>
      <c r="D3" s="147"/>
      <c r="E3" s="147"/>
      <c r="F3" s="147"/>
      <c r="G3" s="147"/>
      <c r="H3" s="147"/>
      <c r="I3" s="147"/>
      <c r="J3" s="147"/>
      <c r="K3" s="147"/>
      <c r="L3" s="147"/>
      <c r="M3" s="147"/>
      <c r="N3" s="147"/>
      <c r="O3" s="20"/>
      <c r="P3" s="20"/>
      <c r="Q3" s="20"/>
      <c r="R3" s="20"/>
      <c r="S3" s="20"/>
      <c r="T3" s="20"/>
    </row>
    <row r="4" spans="2:20" ht="14.45" customHeight="1">
      <c r="B4" s="147"/>
      <c r="C4" s="147"/>
      <c r="D4" s="147"/>
      <c r="E4" s="147"/>
      <c r="F4" s="147"/>
      <c r="G4" s="147"/>
      <c r="H4" s="147"/>
      <c r="I4" s="147"/>
      <c r="J4" s="147"/>
      <c r="K4" s="147"/>
      <c r="L4" s="147"/>
      <c r="M4" s="147"/>
      <c r="N4" s="147"/>
      <c r="O4" s="20"/>
      <c r="P4" s="20"/>
      <c r="Q4" s="20"/>
      <c r="R4" s="20"/>
      <c r="S4" s="20"/>
      <c r="T4" s="20"/>
    </row>
    <row r="5" spans="2:20" ht="14.45" customHeight="1">
      <c r="B5" s="147"/>
      <c r="C5" s="147"/>
      <c r="D5" s="147"/>
      <c r="E5" s="147"/>
      <c r="F5" s="147"/>
      <c r="G5" s="147"/>
      <c r="H5" s="147"/>
      <c r="I5" s="147"/>
      <c r="J5" s="147"/>
      <c r="K5" s="147"/>
      <c r="L5" s="147"/>
      <c r="M5" s="147"/>
      <c r="N5" s="147"/>
      <c r="O5" s="20"/>
      <c r="P5" s="20"/>
      <c r="Q5" s="20"/>
      <c r="R5" s="20"/>
      <c r="S5" s="20"/>
      <c r="T5" s="20"/>
    </row>
    <row r="6" spans="2:20" ht="14.45" customHeight="1">
      <c r="B6" s="147"/>
      <c r="C6" s="147"/>
      <c r="D6" s="147"/>
      <c r="E6" s="147"/>
      <c r="F6" s="147"/>
      <c r="G6" s="147"/>
      <c r="H6" s="147"/>
      <c r="I6" s="147"/>
      <c r="J6" s="147"/>
      <c r="K6" s="147"/>
      <c r="L6" s="147"/>
      <c r="M6" s="147"/>
      <c r="N6" s="147"/>
      <c r="O6" s="20"/>
      <c r="P6" s="20"/>
      <c r="Q6" s="20"/>
      <c r="R6" s="20"/>
      <c r="S6" s="20"/>
      <c r="T6" s="20"/>
    </row>
    <row r="7" spans="2:20" ht="14.45" customHeight="1">
      <c r="B7" s="147"/>
      <c r="C7" s="147"/>
      <c r="D7" s="147"/>
      <c r="E7" s="147"/>
      <c r="F7" s="147"/>
      <c r="G7" s="147"/>
      <c r="H7" s="147"/>
      <c r="I7" s="147"/>
      <c r="J7" s="147"/>
      <c r="K7" s="147"/>
      <c r="L7" s="147"/>
      <c r="M7" s="147"/>
      <c r="N7" s="147"/>
      <c r="O7" s="20"/>
      <c r="P7" s="20"/>
      <c r="Q7" s="20"/>
      <c r="R7" s="20"/>
      <c r="S7" s="20"/>
      <c r="T7" s="20"/>
    </row>
    <row r="8" spans="2:20" ht="14.45" customHeight="1">
      <c r="B8" s="147"/>
      <c r="C8" s="147"/>
      <c r="D8" s="147"/>
      <c r="E8" s="147"/>
      <c r="F8" s="147"/>
      <c r="G8" s="147"/>
      <c r="H8" s="147"/>
      <c r="I8" s="147"/>
      <c r="J8" s="147"/>
      <c r="K8" s="147"/>
      <c r="L8" s="147"/>
      <c r="M8" s="147"/>
      <c r="N8" s="147"/>
      <c r="O8" s="20"/>
      <c r="P8" s="20"/>
      <c r="Q8" s="20"/>
      <c r="R8" s="20"/>
      <c r="S8" s="20"/>
      <c r="T8" s="20"/>
    </row>
    <row r="9" spans="2:20" ht="14.45" customHeight="1">
      <c r="B9" s="147"/>
      <c r="C9" s="147"/>
      <c r="D9" s="147"/>
      <c r="E9" s="147"/>
      <c r="F9" s="147"/>
      <c r="G9" s="147"/>
      <c r="H9" s="147"/>
      <c r="I9" s="147"/>
      <c r="J9" s="147"/>
      <c r="K9" s="147"/>
      <c r="L9" s="147"/>
      <c r="M9" s="147"/>
      <c r="N9" s="147"/>
      <c r="O9" s="20"/>
      <c r="P9" s="20"/>
      <c r="Q9" s="20"/>
      <c r="R9" s="20"/>
      <c r="S9" s="20"/>
      <c r="T9" s="20"/>
    </row>
    <row r="10" spans="2:20" ht="14.45" customHeight="1">
      <c r="B10" s="147"/>
      <c r="C10" s="147"/>
      <c r="D10" s="147"/>
      <c r="E10" s="147"/>
      <c r="F10" s="147"/>
      <c r="G10" s="147"/>
      <c r="H10" s="147"/>
      <c r="I10" s="147"/>
      <c r="J10" s="147"/>
      <c r="K10" s="147"/>
      <c r="L10" s="147"/>
      <c r="M10" s="147"/>
      <c r="N10" s="147"/>
      <c r="O10" s="20"/>
      <c r="P10" s="20"/>
      <c r="Q10" s="20"/>
      <c r="R10" s="20"/>
      <c r="S10" s="20"/>
      <c r="T10" s="20"/>
    </row>
    <row r="11" spans="2:20" ht="14.45" customHeight="1">
      <c r="B11" s="147"/>
      <c r="C11" s="147"/>
      <c r="D11" s="147"/>
      <c r="E11" s="147"/>
      <c r="F11" s="147"/>
      <c r="G11" s="147"/>
      <c r="H11" s="147"/>
      <c r="I11" s="147"/>
      <c r="J11" s="147"/>
      <c r="K11" s="147"/>
      <c r="L11" s="147"/>
      <c r="M11" s="147"/>
      <c r="N11" s="147"/>
      <c r="O11" s="20"/>
      <c r="P11" s="20"/>
      <c r="Q11" s="20"/>
      <c r="R11" s="20"/>
      <c r="S11" s="20"/>
      <c r="T11" s="20"/>
    </row>
    <row r="12" spans="2:20" ht="14.45" customHeight="1">
      <c r="B12" s="147"/>
      <c r="C12" s="147"/>
      <c r="D12" s="147"/>
      <c r="E12" s="147"/>
      <c r="F12" s="147"/>
      <c r="G12" s="147"/>
      <c r="H12" s="147"/>
      <c r="I12" s="147"/>
      <c r="J12" s="147"/>
      <c r="K12" s="147"/>
      <c r="L12" s="147"/>
      <c r="M12" s="147"/>
      <c r="N12" s="147"/>
      <c r="O12" s="20"/>
      <c r="P12" s="20"/>
      <c r="Q12" s="20"/>
      <c r="R12" s="20"/>
      <c r="S12" s="20"/>
      <c r="T12" s="20"/>
    </row>
    <row r="13" spans="2:20" ht="14.45" customHeight="1">
      <c r="B13" s="147"/>
      <c r="C13" s="147"/>
      <c r="D13" s="147"/>
      <c r="E13" s="147"/>
      <c r="F13" s="147"/>
      <c r="G13" s="147"/>
      <c r="H13" s="147"/>
      <c r="I13" s="147"/>
      <c r="J13" s="147"/>
      <c r="K13" s="147"/>
      <c r="L13" s="147"/>
      <c r="M13" s="147"/>
      <c r="N13" s="147"/>
      <c r="O13" s="20"/>
      <c r="P13" s="20"/>
      <c r="Q13" s="20"/>
      <c r="R13" s="20"/>
      <c r="S13" s="20"/>
      <c r="T13" s="20"/>
    </row>
    <row r="14" spans="2:20" ht="14.45" customHeight="1">
      <c r="B14" s="147"/>
      <c r="C14" s="147"/>
      <c r="D14" s="147"/>
      <c r="E14" s="147"/>
      <c r="F14" s="147"/>
      <c r="G14" s="147"/>
      <c r="H14" s="147"/>
      <c r="I14" s="147"/>
      <c r="J14" s="147"/>
      <c r="K14" s="147"/>
      <c r="L14" s="147"/>
      <c r="M14" s="147"/>
      <c r="N14" s="147"/>
      <c r="O14" s="20"/>
      <c r="P14" s="20"/>
      <c r="Q14" s="20"/>
      <c r="R14" s="20"/>
      <c r="S14" s="20"/>
      <c r="T14" s="20"/>
    </row>
    <row r="15" spans="2:20" ht="14.45" customHeight="1">
      <c r="B15" s="147"/>
      <c r="C15" s="147"/>
      <c r="D15" s="147"/>
      <c r="E15" s="147"/>
      <c r="F15" s="147"/>
      <c r="G15" s="147"/>
      <c r="H15" s="147"/>
      <c r="I15" s="147"/>
      <c r="J15" s="147"/>
      <c r="K15" s="147"/>
      <c r="L15" s="147"/>
      <c r="M15" s="147"/>
      <c r="N15" s="147"/>
      <c r="O15" s="20"/>
      <c r="P15" s="20"/>
      <c r="Q15" s="20"/>
      <c r="R15" s="20"/>
      <c r="S15" s="20"/>
      <c r="T15" s="20"/>
    </row>
    <row r="16" spans="2:20" ht="14.45" customHeight="1">
      <c r="B16" s="147"/>
      <c r="C16" s="147"/>
      <c r="D16" s="147"/>
      <c r="E16" s="147"/>
      <c r="F16" s="147"/>
      <c r="G16" s="147"/>
      <c r="H16" s="147"/>
      <c r="I16" s="147"/>
      <c r="J16" s="147"/>
      <c r="K16" s="147"/>
      <c r="L16" s="147"/>
      <c r="M16" s="147"/>
      <c r="N16" s="147"/>
      <c r="O16" s="20"/>
      <c r="P16" s="20"/>
      <c r="Q16" s="20"/>
      <c r="R16" s="20"/>
      <c r="S16" s="20"/>
      <c r="T16" s="20"/>
    </row>
    <row r="17" spans="2:20" ht="14.45" customHeight="1">
      <c r="B17" s="147"/>
      <c r="C17" s="147"/>
      <c r="D17" s="147"/>
      <c r="E17" s="147"/>
      <c r="F17" s="147"/>
      <c r="G17" s="147"/>
      <c r="H17" s="147"/>
      <c r="I17" s="147"/>
      <c r="J17" s="147"/>
      <c r="K17" s="147"/>
      <c r="L17" s="147"/>
      <c r="M17" s="147"/>
      <c r="N17" s="147"/>
      <c r="O17" s="20"/>
      <c r="P17" s="20"/>
      <c r="Q17" s="20"/>
      <c r="R17" s="20"/>
      <c r="S17" s="20"/>
      <c r="T17" s="20"/>
    </row>
    <row r="18" spans="2:20" ht="14.45" customHeight="1">
      <c r="B18" s="147"/>
      <c r="C18" s="147"/>
      <c r="D18" s="147"/>
      <c r="E18" s="147"/>
      <c r="F18" s="147"/>
      <c r="G18" s="147"/>
      <c r="H18" s="147"/>
      <c r="I18" s="147"/>
      <c r="J18" s="147"/>
      <c r="K18" s="147"/>
      <c r="L18" s="147"/>
      <c r="M18" s="147"/>
      <c r="N18" s="147"/>
      <c r="O18" s="20"/>
      <c r="P18" s="20"/>
      <c r="Q18" s="20"/>
      <c r="R18" s="20"/>
      <c r="S18" s="20"/>
      <c r="T18" s="20"/>
    </row>
    <row r="19" spans="2:20" ht="14.45" customHeight="1">
      <c r="B19" s="147"/>
      <c r="C19" s="147"/>
      <c r="D19" s="147"/>
      <c r="E19" s="147"/>
      <c r="F19" s="147"/>
      <c r="G19" s="147"/>
      <c r="H19" s="147"/>
      <c r="I19" s="147"/>
      <c r="J19" s="147"/>
      <c r="K19" s="147"/>
      <c r="L19" s="147"/>
      <c r="M19" s="147"/>
      <c r="N19" s="147"/>
      <c r="O19" s="20"/>
      <c r="P19" s="20"/>
      <c r="Q19" s="20"/>
      <c r="R19" s="20"/>
      <c r="S19" s="20"/>
      <c r="T19" s="20"/>
    </row>
    <row r="20" spans="2:20" ht="14.45" customHeight="1">
      <c r="B20" s="147"/>
      <c r="C20" s="147"/>
      <c r="D20" s="147"/>
      <c r="E20" s="147"/>
      <c r="F20" s="147"/>
      <c r="G20" s="147"/>
      <c r="H20" s="147"/>
      <c r="I20" s="147"/>
      <c r="J20" s="147"/>
      <c r="K20" s="147"/>
      <c r="L20" s="147"/>
      <c r="M20" s="147"/>
      <c r="N20" s="147"/>
      <c r="O20" s="20"/>
      <c r="P20" s="20"/>
      <c r="Q20" s="20"/>
      <c r="R20" s="20"/>
      <c r="S20" s="20"/>
      <c r="T20" s="20"/>
    </row>
    <row r="21" spans="2:20" ht="14.45" customHeight="1">
      <c r="B21" s="147"/>
      <c r="C21" s="147"/>
      <c r="D21" s="147"/>
      <c r="E21" s="147"/>
      <c r="F21" s="147"/>
      <c r="G21" s="147"/>
      <c r="H21" s="147"/>
      <c r="I21" s="147"/>
      <c r="J21" s="147"/>
      <c r="K21" s="147"/>
      <c r="L21" s="147"/>
      <c r="M21" s="147"/>
      <c r="N21" s="147"/>
      <c r="O21" s="20"/>
      <c r="P21" s="20"/>
      <c r="Q21" s="20"/>
      <c r="R21" s="20"/>
      <c r="S21" s="20"/>
      <c r="T21" s="20"/>
    </row>
    <row r="22" spans="2:20" ht="14.45" customHeight="1">
      <c r="B22" s="147"/>
      <c r="C22" s="147"/>
      <c r="D22" s="147"/>
      <c r="E22" s="147"/>
      <c r="F22" s="147"/>
      <c r="G22" s="147"/>
      <c r="H22" s="147"/>
      <c r="I22" s="147"/>
      <c r="J22" s="147"/>
      <c r="K22" s="147"/>
      <c r="L22" s="147"/>
      <c r="M22" s="147"/>
      <c r="N22" s="147"/>
      <c r="O22" s="20"/>
      <c r="P22" s="20"/>
      <c r="Q22" s="20"/>
      <c r="R22" s="20"/>
      <c r="S22" s="20"/>
      <c r="T22" s="20"/>
    </row>
    <row r="23" spans="2:20" ht="14.45" customHeight="1">
      <c r="B23" s="147"/>
      <c r="C23" s="147"/>
      <c r="D23" s="147"/>
      <c r="E23" s="147"/>
      <c r="F23" s="147"/>
      <c r="G23" s="147"/>
      <c r="H23" s="147"/>
      <c r="I23" s="147"/>
      <c r="J23" s="147"/>
      <c r="K23" s="147"/>
      <c r="L23" s="147"/>
      <c r="M23" s="147"/>
      <c r="N23" s="147"/>
      <c r="O23" s="20"/>
      <c r="P23" s="20"/>
      <c r="Q23" s="20"/>
      <c r="R23" s="20"/>
      <c r="S23" s="20"/>
      <c r="T23" s="20"/>
    </row>
    <row r="24" spans="2:20" ht="14.45" customHeight="1">
      <c r="B24" s="147"/>
      <c r="C24" s="147"/>
      <c r="D24" s="147"/>
      <c r="E24" s="147"/>
      <c r="F24" s="147"/>
      <c r="G24" s="147"/>
      <c r="H24" s="147"/>
      <c r="I24" s="147"/>
      <c r="J24" s="147"/>
      <c r="K24" s="147"/>
      <c r="L24" s="147"/>
      <c r="M24" s="147"/>
      <c r="N24" s="147"/>
      <c r="O24" s="20"/>
      <c r="P24" s="20"/>
      <c r="Q24" s="20"/>
      <c r="R24" s="20"/>
      <c r="S24" s="20"/>
      <c r="T24" s="20"/>
    </row>
    <row r="25" spans="2:20" ht="14.45" customHeight="1">
      <c r="B25" s="147"/>
      <c r="C25" s="147"/>
      <c r="D25" s="147"/>
      <c r="E25" s="147"/>
      <c r="F25" s="147"/>
      <c r="G25" s="147"/>
      <c r="H25" s="147"/>
      <c r="I25" s="147"/>
      <c r="J25" s="147"/>
      <c r="K25" s="147"/>
      <c r="L25" s="147"/>
      <c r="M25" s="147"/>
      <c r="N25" s="147"/>
      <c r="O25" s="20"/>
      <c r="P25" s="20"/>
      <c r="Q25" s="20"/>
      <c r="R25" s="20"/>
      <c r="S25" s="20"/>
      <c r="T25" s="20"/>
    </row>
    <row r="26" spans="2:20" ht="14.45" customHeight="1">
      <c r="B26" s="147"/>
      <c r="C26" s="147"/>
      <c r="D26" s="147"/>
      <c r="E26" s="147"/>
      <c r="F26" s="147"/>
      <c r="G26" s="147"/>
      <c r="H26" s="147"/>
      <c r="I26" s="147"/>
      <c r="J26" s="147"/>
      <c r="K26" s="147"/>
      <c r="L26" s="147"/>
      <c r="M26" s="147"/>
      <c r="N26" s="147"/>
      <c r="O26" s="20"/>
      <c r="P26" s="20"/>
      <c r="Q26" s="20"/>
      <c r="R26" s="20"/>
      <c r="S26" s="20"/>
      <c r="T26" s="20"/>
    </row>
    <row r="27" spans="2:20" ht="14.45" customHeight="1">
      <c r="B27" s="147"/>
      <c r="C27" s="147"/>
      <c r="D27" s="147"/>
      <c r="E27" s="147"/>
      <c r="F27" s="147"/>
      <c r="G27" s="147"/>
      <c r="H27" s="147"/>
      <c r="I27" s="147"/>
      <c r="J27" s="147"/>
      <c r="K27" s="147"/>
      <c r="L27" s="147"/>
      <c r="M27" s="147"/>
      <c r="N27" s="147"/>
      <c r="O27" s="20"/>
      <c r="P27" s="20"/>
      <c r="Q27" s="20"/>
      <c r="R27" s="20"/>
      <c r="S27" s="20"/>
      <c r="T27" s="20"/>
    </row>
    <row r="28" spans="2:20" ht="14.45" customHeight="1">
      <c r="B28" s="147"/>
      <c r="C28" s="147"/>
      <c r="D28" s="147"/>
      <c r="E28" s="147"/>
      <c r="F28" s="147"/>
      <c r="G28" s="147"/>
      <c r="H28" s="147"/>
      <c r="I28" s="147"/>
      <c r="J28" s="147"/>
      <c r="K28" s="147"/>
      <c r="L28" s="147"/>
      <c r="M28" s="147"/>
      <c r="N28" s="147"/>
      <c r="O28" s="20"/>
      <c r="P28" s="20"/>
      <c r="Q28" s="20"/>
      <c r="R28" s="20"/>
      <c r="S28" s="20"/>
      <c r="T28" s="20"/>
    </row>
    <row r="29" spans="2:20" ht="14.45" customHeight="1">
      <c r="B29" s="147"/>
      <c r="C29" s="147"/>
      <c r="D29" s="147"/>
      <c r="E29" s="147"/>
      <c r="F29" s="147"/>
      <c r="G29" s="147"/>
      <c r="H29" s="147"/>
      <c r="I29" s="147"/>
      <c r="J29" s="147"/>
      <c r="K29" s="147"/>
      <c r="L29" s="147"/>
      <c r="M29" s="147"/>
      <c r="N29" s="147"/>
      <c r="O29" s="20"/>
      <c r="P29" s="20"/>
      <c r="Q29" s="20"/>
      <c r="R29" s="20"/>
      <c r="S29" s="20"/>
      <c r="T29" s="20"/>
    </row>
    <row r="30" spans="2:20" ht="14.45" customHeight="1">
      <c r="B30" s="147"/>
      <c r="C30" s="147"/>
      <c r="D30" s="147"/>
      <c r="E30" s="147"/>
      <c r="F30" s="147"/>
      <c r="G30" s="147"/>
      <c r="H30" s="147"/>
      <c r="I30" s="147"/>
      <c r="J30" s="147"/>
      <c r="K30" s="147"/>
      <c r="L30" s="147"/>
      <c r="M30" s="147"/>
      <c r="N30" s="147"/>
      <c r="O30" s="20"/>
      <c r="P30" s="20"/>
      <c r="Q30" s="20"/>
      <c r="R30" s="20"/>
      <c r="S30" s="20"/>
      <c r="T30" s="20"/>
    </row>
    <row r="31" spans="2:20" ht="14.45" customHeight="1">
      <c r="B31" s="147"/>
      <c r="C31" s="147"/>
      <c r="D31" s="147"/>
      <c r="E31" s="147"/>
      <c r="F31" s="147"/>
      <c r="G31" s="147"/>
      <c r="H31" s="147"/>
      <c r="I31" s="147"/>
      <c r="J31" s="147"/>
      <c r="K31" s="147"/>
      <c r="L31" s="147"/>
      <c r="M31" s="147"/>
      <c r="N31" s="147"/>
      <c r="O31" s="20"/>
      <c r="P31" s="20"/>
      <c r="Q31" s="20"/>
      <c r="R31" s="20"/>
      <c r="S31" s="20"/>
      <c r="T31" s="20"/>
    </row>
    <row r="32" spans="2:20" ht="14.45" customHeight="1">
      <c r="B32" s="147"/>
      <c r="C32" s="147"/>
      <c r="D32" s="147"/>
      <c r="E32" s="147"/>
      <c r="F32" s="147"/>
      <c r="G32" s="147"/>
      <c r="H32" s="147"/>
      <c r="I32" s="147"/>
      <c r="J32" s="147"/>
      <c r="K32" s="147"/>
      <c r="L32" s="147"/>
      <c r="M32" s="147"/>
      <c r="N32" s="147"/>
      <c r="O32" s="20"/>
      <c r="P32" s="20"/>
      <c r="Q32" s="20"/>
      <c r="R32" s="20"/>
      <c r="S32" s="20"/>
      <c r="T32" s="20"/>
    </row>
    <row r="33" spans="2:20" ht="14.45" customHeight="1">
      <c r="B33" s="147"/>
      <c r="C33" s="147"/>
      <c r="D33" s="147"/>
      <c r="E33" s="147"/>
      <c r="F33" s="147"/>
      <c r="G33" s="147"/>
      <c r="H33" s="147"/>
      <c r="I33" s="147"/>
      <c r="J33" s="147"/>
      <c r="K33" s="147"/>
      <c r="L33" s="147"/>
      <c r="M33" s="147"/>
      <c r="N33" s="147"/>
      <c r="O33" s="20"/>
      <c r="P33" s="20"/>
      <c r="Q33" s="20"/>
      <c r="R33" s="20"/>
      <c r="S33" s="20"/>
      <c r="T33" s="20"/>
    </row>
    <row r="34" spans="2:20" ht="14.45" customHeight="1">
      <c r="B34" s="147"/>
      <c r="C34" s="147"/>
      <c r="D34" s="147"/>
      <c r="E34" s="147"/>
      <c r="F34" s="147"/>
      <c r="G34" s="147"/>
      <c r="H34" s="147"/>
      <c r="I34" s="147"/>
      <c r="J34" s="147"/>
      <c r="K34" s="147"/>
      <c r="L34" s="147"/>
      <c r="M34" s="147"/>
      <c r="N34" s="147"/>
      <c r="O34" s="20"/>
      <c r="P34" s="20"/>
      <c r="Q34" s="20"/>
      <c r="R34" s="20"/>
      <c r="S34" s="20"/>
      <c r="T34" s="20"/>
    </row>
    <row r="35" spans="2:20" ht="14.45" customHeight="1">
      <c r="B35" s="147"/>
      <c r="C35" s="147"/>
      <c r="D35" s="147"/>
      <c r="E35" s="147"/>
      <c r="F35" s="147"/>
      <c r="G35" s="147"/>
      <c r="H35" s="147"/>
      <c r="I35" s="147"/>
      <c r="J35" s="147"/>
      <c r="K35" s="147"/>
      <c r="L35" s="147"/>
      <c r="M35" s="147"/>
      <c r="N35" s="147"/>
      <c r="O35" s="20"/>
      <c r="P35" s="20"/>
      <c r="Q35" s="20"/>
      <c r="R35" s="20"/>
      <c r="S35" s="20"/>
      <c r="T35" s="20"/>
    </row>
    <row r="36" spans="2:20" ht="14.45" customHeight="1">
      <c r="B36" s="147"/>
      <c r="C36" s="147"/>
      <c r="D36" s="147"/>
      <c r="E36" s="147"/>
      <c r="F36" s="147"/>
      <c r="G36" s="147"/>
      <c r="H36" s="147"/>
      <c r="I36" s="147"/>
      <c r="J36" s="147"/>
      <c r="K36" s="147"/>
      <c r="L36" s="147"/>
      <c r="M36" s="147"/>
      <c r="N36" s="147"/>
      <c r="O36" s="20"/>
      <c r="P36" s="20"/>
      <c r="Q36" s="20"/>
      <c r="R36" s="20"/>
      <c r="S36" s="20"/>
      <c r="T36" s="20"/>
    </row>
    <row r="37" spans="2:20" ht="14.45" customHeight="1">
      <c r="B37" s="147"/>
      <c r="C37" s="147"/>
      <c r="D37" s="147"/>
      <c r="E37" s="147"/>
      <c r="F37" s="147"/>
      <c r="G37" s="147"/>
      <c r="H37" s="147"/>
      <c r="I37" s="147"/>
      <c r="J37" s="147"/>
      <c r="K37" s="147"/>
      <c r="L37" s="147"/>
      <c r="M37" s="147"/>
      <c r="N37" s="147"/>
      <c r="O37" s="20"/>
      <c r="P37" s="20"/>
      <c r="Q37" s="20"/>
      <c r="R37" s="20"/>
      <c r="S37" s="20"/>
      <c r="T37" s="20"/>
    </row>
    <row r="38" spans="2:20" ht="14.45" customHeight="1">
      <c r="B38" s="147"/>
      <c r="C38" s="147"/>
      <c r="D38" s="147"/>
      <c r="E38" s="147"/>
      <c r="F38" s="147"/>
      <c r="G38" s="147"/>
      <c r="H38" s="147"/>
      <c r="I38" s="147"/>
      <c r="J38" s="147"/>
      <c r="K38" s="147"/>
      <c r="L38" s="147"/>
      <c r="M38" s="147"/>
      <c r="N38" s="147"/>
      <c r="O38" s="20"/>
      <c r="P38" s="20"/>
      <c r="Q38" s="20"/>
      <c r="R38" s="20"/>
      <c r="S38" s="20"/>
      <c r="T38" s="20"/>
    </row>
    <row r="39" spans="2:20">
      <c r="B39" s="147"/>
      <c r="C39" s="147"/>
      <c r="D39" s="147"/>
      <c r="E39" s="147"/>
      <c r="F39" s="147"/>
      <c r="G39" s="147"/>
      <c r="H39" s="147"/>
      <c r="I39" s="147"/>
      <c r="J39" s="147"/>
      <c r="K39" s="147"/>
      <c r="L39" s="147"/>
      <c r="M39" s="147"/>
      <c r="N39" s="147"/>
      <c r="O39" s="21"/>
      <c r="P39" s="21"/>
      <c r="Q39" s="21"/>
      <c r="R39" s="21"/>
      <c r="S39" s="21"/>
      <c r="T39" s="21"/>
    </row>
    <row r="40" spans="2:20">
      <c r="B40" s="147"/>
      <c r="C40" s="147"/>
      <c r="D40" s="147"/>
      <c r="E40" s="147"/>
      <c r="F40" s="147"/>
      <c r="G40" s="147"/>
      <c r="H40" s="147"/>
      <c r="I40" s="147"/>
      <c r="J40" s="147"/>
      <c r="K40" s="147"/>
      <c r="L40" s="147"/>
      <c r="M40" s="147"/>
      <c r="N40" s="147"/>
      <c r="O40" s="21"/>
      <c r="P40" s="21"/>
      <c r="Q40" s="21"/>
      <c r="R40" s="21"/>
      <c r="S40" s="21"/>
      <c r="T40" s="21"/>
    </row>
    <row r="41" spans="2:20">
      <c r="B41" s="147"/>
      <c r="C41" s="147"/>
      <c r="D41" s="147"/>
      <c r="E41" s="147"/>
      <c r="F41" s="147"/>
      <c r="G41" s="147"/>
      <c r="H41" s="147"/>
      <c r="I41" s="147"/>
      <c r="J41" s="147"/>
      <c r="K41" s="147"/>
      <c r="L41" s="147"/>
      <c r="M41" s="147"/>
      <c r="N41" s="147"/>
      <c r="O41" s="21"/>
      <c r="P41" s="21"/>
      <c r="Q41" s="21"/>
      <c r="R41" s="21"/>
      <c r="S41" s="21"/>
      <c r="T41" s="21"/>
    </row>
  </sheetData>
  <mergeCells count="3">
    <mergeCell ref="O1:P1"/>
    <mergeCell ref="B2:N41"/>
    <mergeCell ref="O2:P2"/>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dimension ref="A1:K19"/>
  <sheetViews>
    <sheetView tabSelected="1" topLeftCell="A10" zoomScale="70" zoomScaleNormal="70" workbookViewId="0">
      <selection activeCell="G12" sqref="G12:G15"/>
    </sheetView>
  </sheetViews>
  <sheetFormatPr defaultRowHeight="14.45"/>
  <cols>
    <col min="1" max="1" width="25.85546875" style="17" customWidth="1"/>
    <col min="2" max="2" width="18.42578125" style="17" customWidth="1"/>
    <col min="3" max="3" width="50.5703125" style="17" customWidth="1"/>
    <col min="4" max="4" width="33.42578125" style="17" customWidth="1"/>
    <col min="5" max="5" width="17.42578125" style="17" bestFit="1" customWidth="1"/>
    <col min="6" max="6" width="37.85546875" style="17" customWidth="1"/>
    <col min="7" max="7" width="32" style="18" customWidth="1"/>
    <col min="8" max="8" width="38.140625" style="17" customWidth="1"/>
    <col min="9" max="9" width="26.42578125" style="17" customWidth="1"/>
    <col min="11" max="11" width="14.85546875" customWidth="1"/>
  </cols>
  <sheetData>
    <row r="1" spans="1:11" ht="29.1">
      <c r="A1" s="1" t="s">
        <v>5</v>
      </c>
      <c r="B1" s="2" t="s">
        <v>6</v>
      </c>
      <c r="C1" s="2" t="s">
        <v>7</v>
      </c>
      <c r="D1" s="2" t="s">
        <v>8</v>
      </c>
      <c r="E1" s="1" t="s">
        <v>9</v>
      </c>
      <c r="F1" s="2" t="s">
        <v>10</v>
      </c>
      <c r="G1" s="2" t="s">
        <v>11</v>
      </c>
      <c r="H1" s="2" t="s">
        <v>12</v>
      </c>
      <c r="I1" s="3" t="s">
        <v>13</v>
      </c>
      <c r="J1" s="143" t="s">
        <v>0</v>
      </c>
      <c r="K1" s="143"/>
    </row>
    <row r="2" spans="1:11" ht="43.5">
      <c r="A2" s="158" t="s">
        <v>14</v>
      </c>
      <c r="B2" s="142" t="s">
        <v>15</v>
      </c>
      <c r="C2" s="142" t="s">
        <v>16</v>
      </c>
      <c r="D2" s="142" t="s">
        <v>15</v>
      </c>
      <c r="E2" s="4">
        <v>2017</v>
      </c>
      <c r="F2" s="142" t="s">
        <v>17</v>
      </c>
      <c r="G2" s="5" t="s">
        <v>18</v>
      </c>
      <c r="H2" s="4"/>
      <c r="I2" s="4" t="s">
        <v>19</v>
      </c>
      <c r="J2" s="143" t="s">
        <v>1</v>
      </c>
      <c r="K2" s="143"/>
    </row>
    <row r="3" spans="1:11">
      <c r="A3" s="159"/>
      <c r="B3" s="142" t="s">
        <v>20</v>
      </c>
      <c r="C3" s="142" t="s">
        <v>21</v>
      </c>
      <c r="D3" s="142" t="s">
        <v>20</v>
      </c>
      <c r="E3" s="4">
        <v>2017</v>
      </c>
      <c r="F3" s="142" t="s">
        <v>22</v>
      </c>
      <c r="G3" s="142" t="s">
        <v>23</v>
      </c>
      <c r="H3" s="4"/>
      <c r="I3" s="4" t="s">
        <v>19</v>
      </c>
    </row>
    <row r="4" spans="1:11" ht="29.1">
      <c r="A4" s="159"/>
      <c r="B4" s="161" t="s">
        <v>24</v>
      </c>
      <c r="C4" s="142" t="s">
        <v>25</v>
      </c>
      <c r="D4" s="162" t="s">
        <v>26</v>
      </c>
      <c r="E4" s="4">
        <v>2017</v>
      </c>
      <c r="F4" s="165" t="s">
        <v>27</v>
      </c>
      <c r="G4" s="161" t="s">
        <v>28</v>
      </c>
      <c r="H4" s="161" t="s">
        <v>29</v>
      </c>
      <c r="I4" s="161" t="s">
        <v>19</v>
      </c>
    </row>
    <row r="5" spans="1:11" ht="29.1">
      <c r="A5" s="159"/>
      <c r="B5" s="161"/>
      <c r="C5" s="142" t="s">
        <v>25</v>
      </c>
      <c r="D5" s="163"/>
      <c r="E5" s="4" t="s">
        <v>30</v>
      </c>
      <c r="F5" s="165"/>
      <c r="G5" s="161"/>
      <c r="H5" s="161"/>
      <c r="I5" s="161"/>
    </row>
    <row r="6" spans="1:11" ht="29.1">
      <c r="A6" s="159"/>
      <c r="B6" s="161"/>
      <c r="C6" s="142" t="s">
        <v>25</v>
      </c>
      <c r="D6" s="164"/>
      <c r="E6" s="4" t="s">
        <v>31</v>
      </c>
      <c r="F6" s="165"/>
      <c r="G6" s="161"/>
      <c r="H6" s="161"/>
      <c r="I6" s="161"/>
    </row>
    <row r="7" spans="1:11">
      <c r="A7" s="159"/>
      <c r="B7" s="161" t="s">
        <v>32</v>
      </c>
      <c r="C7" s="142" t="s">
        <v>33</v>
      </c>
      <c r="D7" s="162" t="s">
        <v>34</v>
      </c>
      <c r="E7" s="4">
        <v>2017</v>
      </c>
      <c r="F7" s="165" t="s">
        <v>27</v>
      </c>
      <c r="G7" s="161" t="s">
        <v>28</v>
      </c>
      <c r="H7" s="161" t="s">
        <v>29</v>
      </c>
      <c r="I7" s="161" t="s">
        <v>19</v>
      </c>
    </row>
    <row r="8" spans="1:11">
      <c r="A8" s="159"/>
      <c r="B8" s="161"/>
      <c r="C8" s="142" t="s">
        <v>35</v>
      </c>
      <c r="D8" s="163"/>
      <c r="E8" s="4" t="s">
        <v>30</v>
      </c>
      <c r="F8" s="165"/>
      <c r="G8" s="161"/>
      <c r="H8" s="161"/>
      <c r="I8" s="161"/>
    </row>
    <row r="9" spans="1:11">
      <c r="A9" s="160"/>
      <c r="B9" s="161"/>
      <c r="C9" s="142" t="s">
        <v>36</v>
      </c>
      <c r="D9" s="164"/>
      <c r="E9" s="4" t="s">
        <v>31</v>
      </c>
      <c r="F9" s="165"/>
      <c r="G9" s="161"/>
      <c r="H9" s="161"/>
      <c r="I9" s="161"/>
    </row>
    <row r="10" spans="1:11" ht="72.599999999999994">
      <c r="A10" s="151" t="s">
        <v>37</v>
      </c>
      <c r="B10" s="6" t="s">
        <v>38</v>
      </c>
      <c r="C10" s="7" t="s">
        <v>39</v>
      </c>
      <c r="D10" s="7" t="s">
        <v>40</v>
      </c>
      <c r="E10" s="6" t="s">
        <v>30</v>
      </c>
      <c r="F10" s="7" t="s">
        <v>41</v>
      </c>
      <c r="G10" s="7" t="s">
        <v>42</v>
      </c>
      <c r="H10" s="7" t="s">
        <v>43</v>
      </c>
      <c r="I10" s="6" t="s">
        <v>19</v>
      </c>
    </row>
    <row r="11" spans="1:11" ht="72.599999999999994">
      <c r="A11" s="151"/>
      <c r="B11" s="7" t="s">
        <v>44</v>
      </c>
      <c r="C11" s="7" t="s">
        <v>45</v>
      </c>
      <c r="D11" s="7" t="s">
        <v>40</v>
      </c>
      <c r="E11" s="6" t="s">
        <v>30</v>
      </c>
      <c r="F11" s="7" t="s">
        <v>41</v>
      </c>
      <c r="G11" s="7" t="s">
        <v>42</v>
      </c>
      <c r="H11" s="7" t="s">
        <v>43</v>
      </c>
      <c r="I11" s="6" t="s">
        <v>19</v>
      </c>
    </row>
    <row r="12" spans="1:11" ht="14.45" customHeight="1">
      <c r="A12" s="155" t="s">
        <v>46</v>
      </c>
      <c r="B12" s="126" t="s">
        <v>47</v>
      </c>
      <c r="C12" s="126" t="s">
        <v>48</v>
      </c>
      <c r="D12" s="148" t="s">
        <v>49</v>
      </c>
      <c r="E12" s="8" t="s">
        <v>50</v>
      </c>
      <c r="F12" s="148" t="s">
        <v>51</v>
      </c>
      <c r="G12" s="198" t="s">
        <v>52</v>
      </c>
      <c r="H12" s="148" t="s">
        <v>53</v>
      </c>
      <c r="I12" s="148" t="s">
        <v>54</v>
      </c>
    </row>
    <row r="13" spans="1:11" ht="15">
      <c r="A13" s="156"/>
      <c r="B13" s="126" t="s">
        <v>55</v>
      </c>
      <c r="C13" s="126" t="s">
        <v>56</v>
      </c>
      <c r="D13" s="149"/>
      <c r="E13" s="8" t="s">
        <v>57</v>
      </c>
      <c r="F13" s="149"/>
      <c r="G13" s="199"/>
      <c r="H13" s="149"/>
      <c r="I13" s="149"/>
    </row>
    <row r="14" spans="1:11" ht="30.75">
      <c r="A14" s="156"/>
      <c r="B14" s="126" t="s">
        <v>58</v>
      </c>
      <c r="C14" s="126" t="s">
        <v>59</v>
      </c>
      <c r="D14" s="149"/>
      <c r="E14" s="8" t="s">
        <v>50</v>
      </c>
      <c r="F14" s="149"/>
      <c r="G14" s="199"/>
      <c r="H14" s="149"/>
      <c r="I14" s="149"/>
    </row>
    <row r="15" spans="1:11" ht="30.75">
      <c r="A15" s="157"/>
      <c r="B15" s="126" t="s">
        <v>60</v>
      </c>
      <c r="C15" s="126" t="s">
        <v>61</v>
      </c>
      <c r="D15" s="149"/>
      <c r="E15" s="8" t="s">
        <v>50</v>
      </c>
      <c r="F15" s="150"/>
      <c r="G15" s="200"/>
      <c r="H15" s="150"/>
      <c r="I15" s="150"/>
    </row>
    <row r="16" spans="1:11" ht="29.1">
      <c r="A16" s="129" t="s">
        <v>62</v>
      </c>
      <c r="B16" s="128" t="s">
        <v>63</v>
      </c>
      <c r="C16" s="128" t="s">
        <v>64</v>
      </c>
      <c r="D16" s="127" t="s">
        <v>65</v>
      </c>
      <c r="E16" s="130" t="s">
        <v>66</v>
      </c>
      <c r="F16" s="128" t="s">
        <v>67</v>
      </c>
      <c r="G16" s="128" t="s">
        <v>68</v>
      </c>
      <c r="H16" s="127" t="s">
        <v>69</v>
      </c>
      <c r="I16" s="128" t="s">
        <v>54</v>
      </c>
    </row>
    <row r="17" spans="1:9" ht="29.1">
      <c r="A17" s="152" t="s">
        <v>70</v>
      </c>
      <c r="B17" s="9" t="s">
        <v>71</v>
      </c>
      <c r="C17" s="9" t="s">
        <v>72</v>
      </c>
      <c r="D17" s="153" t="s">
        <v>70</v>
      </c>
      <c r="E17" s="10">
        <v>2016</v>
      </c>
      <c r="F17" s="11" t="s">
        <v>73</v>
      </c>
      <c r="G17" s="12" t="s">
        <v>74</v>
      </c>
      <c r="H17" s="9" t="s">
        <v>75</v>
      </c>
      <c r="I17" s="9" t="s">
        <v>54</v>
      </c>
    </row>
    <row r="18" spans="1:9" ht="29.1">
      <c r="A18" s="152"/>
      <c r="B18" s="9" t="s">
        <v>76</v>
      </c>
      <c r="C18" s="9" t="s">
        <v>77</v>
      </c>
      <c r="D18" s="154"/>
      <c r="E18" s="10">
        <v>2016</v>
      </c>
      <c r="F18" s="11" t="s">
        <v>73</v>
      </c>
      <c r="G18" s="13" t="s">
        <v>78</v>
      </c>
      <c r="H18" s="9" t="s">
        <v>79</v>
      </c>
      <c r="I18" s="9" t="s">
        <v>54</v>
      </c>
    </row>
    <row r="19" spans="1:9" ht="29.1">
      <c r="A19" s="14" t="s">
        <v>80</v>
      </c>
      <c r="B19" s="15" t="s">
        <v>80</v>
      </c>
      <c r="C19" s="15" t="s">
        <v>81</v>
      </c>
      <c r="D19" s="15" t="s">
        <v>82</v>
      </c>
      <c r="E19" s="16">
        <v>2016</v>
      </c>
      <c r="F19" s="15" t="s">
        <v>83</v>
      </c>
      <c r="G19" s="15" t="s">
        <v>42</v>
      </c>
      <c r="H19" s="15"/>
      <c r="I19" s="15" t="s">
        <v>84</v>
      </c>
    </row>
  </sheetData>
  <mergeCells count="24">
    <mergeCell ref="J1:K1"/>
    <mergeCell ref="A2:A9"/>
    <mergeCell ref="J2:K2"/>
    <mergeCell ref="B4:B6"/>
    <mergeCell ref="D4:D6"/>
    <mergeCell ref="F4:F6"/>
    <mergeCell ref="G4:G6"/>
    <mergeCell ref="H4:H6"/>
    <mergeCell ref="I4:I6"/>
    <mergeCell ref="B7:B9"/>
    <mergeCell ref="D7:D9"/>
    <mergeCell ref="F7:F9"/>
    <mergeCell ref="G7:G9"/>
    <mergeCell ref="H7:H9"/>
    <mergeCell ref="I7:I9"/>
    <mergeCell ref="G12:G15"/>
    <mergeCell ref="H12:H15"/>
    <mergeCell ref="I12:I15"/>
    <mergeCell ref="A10:A11"/>
    <mergeCell ref="A17:A18"/>
    <mergeCell ref="D17:D18"/>
    <mergeCell ref="F12:F15"/>
    <mergeCell ref="A12:A15"/>
    <mergeCell ref="D12:D15"/>
  </mergeCells>
  <hyperlinks>
    <hyperlink ref="G12:G15" r:id="rId1" display="https://www.samhsa.gov/data/population-data-nsduh/reports?tab=38" xr:uid="{678F3B7A-6B9C-4BE4-93F5-A75EC6B351A6}"/>
  </hyperlinks>
  <pageMargins left="0.7" right="0.7" top="0.75" bottom="0.75" header="0.3" footer="0.3"/>
  <pageSetup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dimension ref="A1:P21"/>
  <sheetViews>
    <sheetView zoomScale="85" zoomScaleNormal="85" workbookViewId="0">
      <pane ySplit="1" topLeftCell="B16" activePane="bottomLeft" state="frozen"/>
      <selection pane="bottomLeft" activeCell="B16" sqref="B16"/>
    </sheetView>
  </sheetViews>
  <sheetFormatPr defaultRowHeight="14.45"/>
  <cols>
    <col min="1" max="1" width="24.42578125" style="17" bestFit="1" customWidth="1"/>
    <col min="2" max="2" width="19.42578125" bestFit="1" customWidth="1"/>
    <col min="3" max="3" width="45.42578125" style="81" customWidth="1"/>
    <col min="4" max="4" width="20" style="103" customWidth="1"/>
    <col min="5" max="5" width="11.5703125" bestFit="1" customWidth="1"/>
    <col min="6" max="6" width="12.140625" bestFit="1" customWidth="1"/>
    <col min="7" max="8" width="15.5703125" bestFit="1" customWidth="1"/>
    <col min="9" max="9" width="14.5703125" bestFit="1" customWidth="1"/>
    <col min="10" max="10" width="16.5703125" bestFit="1" customWidth="1"/>
    <col min="11" max="11" width="13.5703125" bestFit="1" customWidth="1"/>
    <col min="12" max="12" width="15.5703125" bestFit="1" customWidth="1"/>
    <col min="13" max="13" width="16.5703125" bestFit="1" customWidth="1"/>
    <col min="14" max="14" width="11.140625" bestFit="1" customWidth="1"/>
  </cols>
  <sheetData>
    <row r="1" spans="1:16" s="104" customFormat="1">
      <c r="A1" s="82" t="s">
        <v>5</v>
      </c>
      <c r="B1" s="82" t="s">
        <v>6</v>
      </c>
      <c r="C1" s="83" t="s">
        <v>7</v>
      </c>
      <c r="D1" s="82" t="s">
        <v>9</v>
      </c>
      <c r="E1" s="82" t="s">
        <v>85</v>
      </c>
      <c r="F1" s="82" t="s">
        <v>86</v>
      </c>
      <c r="G1" s="82" t="s">
        <v>87</v>
      </c>
      <c r="H1" s="82" t="s">
        <v>88</v>
      </c>
      <c r="I1" s="82" t="s">
        <v>89</v>
      </c>
      <c r="J1" s="82" t="s">
        <v>90</v>
      </c>
      <c r="K1" s="82" t="s">
        <v>91</v>
      </c>
      <c r="L1" s="82" t="s">
        <v>92</v>
      </c>
      <c r="M1" s="82" t="s">
        <v>93</v>
      </c>
      <c r="N1" s="82" t="s">
        <v>94</v>
      </c>
      <c r="O1" s="166" t="s">
        <v>0</v>
      </c>
      <c r="P1" s="167"/>
    </row>
    <row r="2" spans="1:16">
      <c r="A2" s="6" t="s">
        <v>95</v>
      </c>
      <c r="B2" s="84" t="s">
        <v>96</v>
      </c>
      <c r="C2" s="85" t="s">
        <v>97</v>
      </c>
      <c r="D2" s="86">
        <v>2017</v>
      </c>
      <c r="E2" s="105">
        <v>0</v>
      </c>
      <c r="F2" s="105">
        <v>0</v>
      </c>
      <c r="G2" s="105">
        <v>48825.051948052002</v>
      </c>
      <c r="H2" s="105">
        <v>107707.06625671699</v>
      </c>
      <c r="I2" s="105">
        <v>22058</v>
      </c>
      <c r="J2" s="105">
        <v>35261</v>
      </c>
      <c r="K2" s="105">
        <v>2468</v>
      </c>
      <c r="L2" s="105">
        <v>720724</v>
      </c>
      <c r="M2" s="105">
        <v>3930864</v>
      </c>
      <c r="N2" s="84"/>
      <c r="O2" s="168" t="s">
        <v>1</v>
      </c>
      <c r="P2" s="143"/>
    </row>
    <row r="3" spans="1:16">
      <c r="A3" s="177" t="s">
        <v>98</v>
      </c>
      <c r="B3" s="87" t="s">
        <v>15</v>
      </c>
      <c r="C3" s="88" t="s">
        <v>16</v>
      </c>
      <c r="D3" s="89">
        <v>2017</v>
      </c>
      <c r="E3" s="106">
        <v>0</v>
      </c>
      <c r="F3" s="106">
        <v>0</v>
      </c>
      <c r="G3" s="106">
        <v>17.463636363999999</v>
      </c>
      <c r="H3" s="106">
        <v>4.4182012620000002</v>
      </c>
      <c r="I3" s="106">
        <v>17.100000000000001</v>
      </c>
      <c r="J3" s="106">
        <v>5.6</v>
      </c>
      <c r="K3" s="106">
        <v>7.5</v>
      </c>
      <c r="L3" s="106">
        <v>27.2</v>
      </c>
      <c r="M3" s="106">
        <v>15.8</v>
      </c>
      <c r="N3" s="87"/>
    </row>
    <row r="4" spans="1:16" ht="29.1">
      <c r="A4" s="178"/>
      <c r="B4" s="88" t="s">
        <v>99</v>
      </c>
      <c r="C4" s="88" t="s">
        <v>100</v>
      </c>
      <c r="D4" s="89"/>
      <c r="E4" s="106"/>
      <c r="F4" s="106"/>
      <c r="G4" s="106"/>
      <c r="H4" s="106"/>
      <c r="I4" s="106"/>
      <c r="J4" s="106"/>
      <c r="K4" s="106"/>
      <c r="L4" s="106"/>
      <c r="M4" s="106"/>
      <c r="N4" s="87"/>
    </row>
    <row r="5" spans="1:16">
      <c r="A5" s="178"/>
      <c r="B5" s="87" t="s">
        <v>20</v>
      </c>
      <c r="C5" s="88" t="s">
        <v>21</v>
      </c>
      <c r="D5" s="89">
        <v>2017</v>
      </c>
      <c r="E5" s="106">
        <v>0</v>
      </c>
      <c r="F5" s="106">
        <v>0</v>
      </c>
      <c r="G5" s="106">
        <v>4.4779220779999998</v>
      </c>
      <c r="H5" s="106">
        <v>1.1829516360000001</v>
      </c>
      <c r="I5" s="106">
        <v>4.4000000000000004</v>
      </c>
      <c r="J5" s="106">
        <v>1.8</v>
      </c>
      <c r="K5" s="106">
        <v>2.4</v>
      </c>
      <c r="L5" s="106">
        <v>7.8</v>
      </c>
      <c r="M5" s="106">
        <v>4.3</v>
      </c>
      <c r="N5" s="87"/>
    </row>
    <row r="6" spans="1:16" ht="29.1">
      <c r="A6" s="178"/>
      <c r="B6" s="177" t="s">
        <v>101</v>
      </c>
      <c r="C6" s="88" t="s">
        <v>102</v>
      </c>
      <c r="D6" s="89">
        <v>2017</v>
      </c>
      <c r="E6" s="106">
        <v>74</v>
      </c>
      <c r="F6" s="106">
        <v>96.103896104</v>
      </c>
      <c r="G6" s="106">
        <v>5.4022084149999996</v>
      </c>
      <c r="H6" s="106">
        <v>1.1160878219999999</v>
      </c>
      <c r="I6" s="106">
        <v>5.3293443539999998</v>
      </c>
      <c r="J6" s="106">
        <v>2.2286050780000002</v>
      </c>
      <c r="K6" s="106">
        <v>4.3243379060000002</v>
      </c>
      <c r="L6" s="106">
        <v>6.5529429840000004</v>
      </c>
      <c r="M6" s="106">
        <v>5.4789518609999996</v>
      </c>
      <c r="N6" s="169"/>
    </row>
    <row r="7" spans="1:16" ht="29.1">
      <c r="A7" s="178"/>
      <c r="B7" s="178"/>
      <c r="C7" s="88" t="s">
        <v>103</v>
      </c>
      <c r="D7" s="89" t="s">
        <v>30</v>
      </c>
      <c r="E7" s="106">
        <v>0</v>
      </c>
      <c r="F7" s="106">
        <v>0</v>
      </c>
      <c r="G7" s="106">
        <v>6.4352864759999999</v>
      </c>
      <c r="H7" s="106">
        <v>3.291857829</v>
      </c>
      <c r="I7" s="106">
        <v>6.0085836910000001</v>
      </c>
      <c r="J7" s="106">
        <v>4.309952354</v>
      </c>
      <c r="K7" s="106">
        <v>0</v>
      </c>
      <c r="L7" s="106">
        <v>14.942528736</v>
      </c>
      <c r="M7" s="106">
        <v>5.6766204130000002</v>
      </c>
      <c r="N7" s="170"/>
    </row>
    <row r="8" spans="1:16" ht="29.1">
      <c r="A8" s="178"/>
      <c r="B8" s="179"/>
      <c r="C8" s="88" t="s">
        <v>104</v>
      </c>
      <c r="D8" s="89" t="s">
        <v>31</v>
      </c>
      <c r="E8" s="106">
        <v>0</v>
      </c>
      <c r="F8" s="106">
        <v>0</v>
      </c>
      <c r="G8" s="106">
        <v>6.434487442</v>
      </c>
      <c r="H8" s="106">
        <v>3.2814752180000002</v>
      </c>
      <c r="I8" s="106">
        <v>5.7829181490000003</v>
      </c>
      <c r="J8" s="106">
        <v>4.2733257160000004</v>
      </c>
      <c r="K8" s="106">
        <v>0</v>
      </c>
      <c r="L8" s="106">
        <v>14.942528736</v>
      </c>
      <c r="M8" s="106"/>
      <c r="N8" s="171"/>
    </row>
    <row r="9" spans="1:16">
      <c r="A9" s="178"/>
      <c r="B9" s="177" t="s">
        <v>32</v>
      </c>
      <c r="C9" s="88" t="s">
        <v>33</v>
      </c>
      <c r="D9" s="89">
        <v>2017</v>
      </c>
      <c r="E9" s="106">
        <v>66</v>
      </c>
      <c r="F9" s="106">
        <v>85.714285713999999</v>
      </c>
      <c r="G9" s="106">
        <v>0.44740909099999998</v>
      </c>
      <c r="H9" s="106">
        <v>3.5169100000000002E-2</v>
      </c>
      <c r="I9" s="106">
        <v>0.442</v>
      </c>
      <c r="J9" s="106">
        <v>7.0699999999999999E-2</v>
      </c>
      <c r="K9" s="106">
        <v>0.39279999999999998</v>
      </c>
      <c r="L9" s="106">
        <v>0.49309999999999998</v>
      </c>
      <c r="M9" s="106">
        <v>0.46579999999999999</v>
      </c>
      <c r="N9" s="169"/>
    </row>
    <row r="10" spans="1:16">
      <c r="A10" s="178"/>
      <c r="B10" s="178"/>
      <c r="C10" s="88" t="s">
        <v>35</v>
      </c>
      <c r="D10" s="89" t="s">
        <v>30</v>
      </c>
      <c r="E10" s="106">
        <v>0</v>
      </c>
      <c r="F10" s="106">
        <v>0</v>
      </c>
      <c r="G10" s="106">
        <v>0.44941558399999998</v>
      </c>
      <c r="H10" s="106">
        <v>2.75743E-2</v>
      </c>
      <c r="I10" s="106">
        <v>0.4481</v>
      </c>
      <c r="J10" s="106">
        <v>2.3199999999999998E-2</v>
      </c>
      <c r="K10" s="106">
        <v>0.38269999999999998</v>
      </c>
      <c r="L10" s="106">
        <v>0.52710000000000001</v>
      </c>
      <c r="M10" s="106">
        <v>0.46539999999999998</v>
      </c>
      <c r="N10" s="170"/>
    </row>
    <row r="11" spans="1:16">
      <c r="A11" s="179"/>
      <c r="B11" s="179"/>
      <c r="C11" s="88" t="s">
        <v>36</v>
      </c>
      <c r="D11" s="89" t="s">
        <v>31</v>
      </c>
      <c r="E11" s="106">
        <v>0</v>
      </c>
      <c r="F11" s="106">
        <v>0</v>
      </c>
      <c r="G11" s="106">
        <v>0.44905454500000003</v>
      </c>
      <c r="H11" s="106">
        <v>2.6937900000000001E-2</v>
      </c>
      <c r="I11" s="106">
        <v>0.4481</v>
      </c>
      <c r="J11" s="106">
        <v>2.3199999999999998E-2</v>
      </c>
      <c r="K11" s="106">
        <v>0.38269999999999998</v>
      </c>
      <c r="L11" s="106">
        <v>0.50770000000000004</v>
      </c>
      <c r="M11" s="106"/>
      <c r="N11" s="171"/>
    </row>
    <row r="12" spans="1:16">
      <c r="A12" s="180" t="s">
        <v>37</v>
      </c>
      <c r="B12" s="90" t="s">
        <v>38</v>
      </c>
      <c r="C12" s="91" t="s">
        <v>39</v>
      </c>
      <c r="D12" s="92" t="s">
        <v>30</v>
      </c>
      <c r="E12" s="107">
        <v>0</v>
      </c>
      <c r="F12" s="107">
        <v>0</v>
      </c>
      <c r="G12" s="107">
        <v>10.632870480999999</v>
      </c>
      <c r="H12" s="107">
        <v>1.621659696</v>
      </c>
      <c r="I12" s="107">
        <v>10.671611042</v>
      </c>
      <c r="J12" s="107">
        <v>1.346058274</v>
      </c>
      <c r="K12" s="107">
        <v>6.4150943399999996</v>
      </c>
      <c r="L12" s="107">
        <v>15.697674419</v>
      </c>
      <c r="M12" s="107">
        <v>11.036186966000001</v>
      </c>
      <c r="N12" s="90"/>
    </row>
    <row r="13" spans="1:16">
      <c r="A13" s="181"/>
      <c r="B13" s="90" t="s">
        <v>105</v>
      </c>
      <c r="C13" s="91" t="s">
        <v>45</v>
      </c>
      <c r="D13" s="92" t="s">
        <v>30</v>
      </c>
      <c r="E13" s="107">
        <v>1</v>
      </c>
      <c r="F13" s="107">
        <v>1.298701299</v>
      </c>
      <c r="G13" s="107">
        <v>7.8711662210000002</v>
      </c>
      <c r="H13" s="107">
        <v>1.1692273470000001</v>
      </c>
      <c r="I13" s="107">
        <v>7.6939689189999996</v>
      </c>
      <c r="J13" s="107">
        <v>1.3715851619999999</v>
      </c>
      <c r="K13" s="107">
        <v>4.9056603770000002</v>
      </c>
      <c r="L13" s="107">
        <v>12.138728324000001</v>
      </c>
      <c r="M13" s="107">
        <v>7.9585433830000003</v>
      </c>
      <c r="N13" s="90"/>
    </row>
    <row r="14" spans="1:16">
      <c r="A14" s="182" t="s">
        <v>46</v>
      </c>
      <c r="B14" s="93" t="s">
        <v>47</v>
      </c>
      <c r="C14" s="94" t="s">
        <v>48</v>
      </c>
      <c r="D14" s="95" t="s">
        <v>50</v>
      </c>
      <c r="E14" s="108">
        <v>0</v>
      </c>
      <c r="F14" s="108">
        <v>0</v>
      </c>
      <c r="G14" s="108">
        <v>23.386499405999999</v>
      </c>
      <c r="H14" s="108">
        <v>1.7873434459999999</v>
      </c>
      <c r="I14" s="108">
        <v>22.236668210000001</v>
      </c>
      <c r="J14" s="108">
        <v>3.3452530299999998</v>
      </c>
      <c r="K14" s="108">
        <v>20.913281439999999</v>
      </c>
      <c r="L14" s="108">
        <v>25.361534290000002</v>
      </c>
      <c r="M14" s="108">
        <v>23.558990900000001</v>
      </c>
      <c r="N14" s="172"/>
    </row>
    <row r="15" spans="1:16">
      <c r="A15" s="183"/>
      <c r="B15" s="93" t="s">
        <v>106</v>
      </c>
      <c r="C15" s="94" t="s">
        <v>56</v>
      </c>
      <c r="D15" s="95" t="s">
        <v>57</v>
      </c>
      <c r="E15" s="108">
        <v>0</v>
      </c>
      <c r="F15" s="108">
        <v>0</v>
      </c>
      <c r="G15" s="108">
        <v>5.3533302300000001</v>
      </c>
      <c r="H15" s="108">
        <v>0.56482100099999999</v>
      </c>
      <c r="I15" s="108">
        <v>5.6932922990000003</v>
      </c>
      <c r="J15" s="108">
        <v>0.88363203000000001</v>
      </c>
      <c r="K15" s="108">
        <v>4.5438463870000003</v>
      </c>
      <c r="L15" s="108">
        <v>7.1076937610000002</v>
      </c>
      <c r="M15" s="108">
        <v>5.9022350729999999</v>
      </c>
      <c r="N15" s="173"/>
    </row>
    <row r="16" spans="1:16" ht="29.1">
      <c r="A16" s="183"/>
      <c r="B16" s="93" t="s">
        <v>58</v>
      </c>
      <c r="C16" s="94" t="s">
        <v>59</v>
      </c>
      <c r="D16" s="95" t="s">
        <v>50</v>
      </c>
      <c r="E16" s="108">
        <v>0</v>
      </c>
      <c r="F16" s="108">
        <v>0</v>
      </c>
      <c r="G16" s="108">
        <v>3.6759402329999999</v>
      </c>
      <c r="H16" s="108">
        <v>0.29878792999999998</v>
      </c>
      <c r="I16" s="108">
        <v>3.5138264100000001</v>
      </c>
      <c r="J16" s="108">
        <v>0.57286546000000005</v>
      </c>
      <c r="K16" s="108">
        <v>3.27529469</v>
      </c>
      <c r="L16" s="108">
        <v>4.3026753700000002</v>
      </c>
      <c r="M16" s="108">
        <v>3.72599583</v>
      </c>
      <c r="N16" s="173"/>
    </row>
    <row r="17" spans="1:14" ht="29.1">
      <c r="A17" s="183"/>
      <c r="B17" s="93" t="s">
        <v>60</v>
      </c>
      <c r="C17" s="94" t="s">
        <v>61</v>
      </c>
      <c r="D17" s="95" t="s">
        <v>50</v>
      </c>
      <c r="E17" s="108">
        <v>0</v>
      </c>
      <c r="F17" s="108">
        <v>0</v>
      </c>
      <c r="G17" s="108">
        <v>5.3373274720000001</v>
      </c>
      <c r="H17" s="108">
        <v>0.36963387599999997</v>
      </c>
      <c r="I17" s="108">
        <v>5.1146483500000004</v>
      </c>
      <c r="J17" s="108">
        <v>0.79630721999999998</v>
      </c>
      <c r="K17" s="108">
        <v>4.8792671099999998</v>
      </c>
      <c r="L17" s="108">
        <v>5.7594324700000001</v>
      </c>
      <c r="M17" s="108">
        <v>5.3090652499999997</v>
      </c>
      <c r="N17" s="174"/>
    </row>
    <row r="18" spans="1:14" ht="29.1">
      <c r="A18" s="131" t="s">
        <v>107</v>
      </c>
      <c r="B18" s="132" t="s">
        <v>108</v>
      </c>
      <c r="C18" s="133" t="s">
        <v>109</v>
      </c>
      <c r="D18" s="134" t="s">
        <v>66</v>
      </c>
      <c r="E18" s="135">
        <v>9</v>
      </c>
      <c r="F18" s="135">
        <v>12</v>
      </c>
      <c r="G18" s="135">
        <v>17.3</v>
      </c>
      <c r="H18" s="135">
        <v>6.6</v>
      </c>
      <c r="I18" s="135">
        <v>17.600000000000001</v>
      </c>
      <c r="J18" s="135">
        <v>8.35</v>
      </c>
      <c r="K18" s="135">
        <v>0</v>
      </c>
      <c r="L18" s="135">
        <v>29.5</v>
      </c>
      <c r="M18" s="135"/>
      <c r="N18" s="136"/>
    </row>
    <row r="19" spans="1:14">
      <c r="A19" s="175" t="s">
        <v>70</v>
      </c>
      <c r="B19" s="96" t="s">
        <v>71</v>
      </c>
      <c r="C19" s="97" t="s">
        <v>72</v>
      </c>
      <c r="D19" s="98">
        <v>2016</v>
      </c>
      <c r="E19" s="109">
        <v>0</v>
      </c>
      <c r="F19" s="109">
        <v>0</v>
      </c>
      <c r="G19" s="109">
        <v>22.127965087</v>
      </c>
      <c r="H19" s="109">
        <v>10.43491408</v>
      </c>
      <c r="I19" s="109">
        <v>20.498126514999999</v>
      </c>
      <c r="J19" s="109">
        <v>15.659188557</v>
      </c>
      <c r="K19" s="109">
        <v>2.401280683</v>
      </c>
      <c r="L19" s="109">
        <v>53.267191242000003</v>
      </c>
      <c r="M19" s="109">
        <v>35.092266598999998</v>
      </c>
      <c r="N19" s="96"/>
    </row>
    <row r="20" spans="1:14" ht="29.1">
      <c r="A20" s="176"/>
      <c r="B20" s="96" t="s">
        <v>76</v>
      </c>
      <c r="C20" s="97" t="s">
        <v>77</v>
      </c>
      <c r="D20" s="98">
        <v>2016</v>
      </c>
      <c r="E20" s="109">
        <v>0</v>
      </c>
      <c r="F20" s="109">
        <v>0</v>
      </c>
      <c r="G20" s="109">
        <v>826.16340584099999</v>
      </c>
      <c r="H20" s="109">
        <v>1053.92462654</v>
      </c>
      <c r="I20" s="109">
        <v>523.07692307699995</v>
      </c>
      <c r="J20" s="109">
        <v>1135.839687338</v>
      </c>
      <c r="K20" s="109">
        <v>0</v>
      </c>
      <c r="L20" s="109">
        <v>7865.6650463989999</v>
      </c>
      <c r="M20" s="109">
        <v>1474.6866771770001</v>
      </c>
      <c r="N20" s="96"/>
    </row>
    <row r="21" spans="1:14" ht="29.1">
      <c r="A21" s="99" t="s">
        <v>80</v>
      </c>
      <c r="B21" s="100" t="s">
        <v>80</v>
      </c>
      <c r="C21" s="101" t="s">
        <v>81</v>
      </c>
      <c r="D21" s="102">
        <v>2016</v>
      </c>
      <c r="E21" s="110">
        <v>0</v>
      </c>
      <c r="F21" s="110">
        <v>0</v>
      </c>
      <c r="G21" s="110">
        <v>16.588288654999999</v>
      </c>
      <c r="H21" s="110">
        <v>8.1855639329999992</v>
      </c>
      <c r="I21" s="110">
        <v>16.152113586999999</v>
      </c>
      <c r="J21" s="110">
        <v>8.5017766370000007</v>
      </c>
      <c r="K21" s="110">
        <v>0.71581961299999997</v>
      </c>
      <c r="L21" s="110">
        <v>42.223024178999999</v>
      </c>
      <c r="M21" s="110">
        <v>14.984380332000001</v>
      </c>
      <c r="N21" s="100"/>
    </row>
  </sheetData>
  <mergeCells count="11">
    <mergeCell ref="A19:A20"/>
    <mergeCell ref="A3:A11"/>
    <mergeCell ref="B6:B8"/>
    <mergeCell ref="B9:B11"/>
    <mergeCell ref="A12:A13"/>
    <mergeCell ref="A14:A17"/>
    <mergeCell ref="O1:P1"/>
    <mergeCell ref="O2:P2"/>
    <mergeCell ref="N6:N8"/>
    <mergeCell ref="N9:N11"/>
    <mergeCell ref="N14:N17"/>
  </mergeCells>
  <pageMargins left="0.75" right="0.75" top="1" bottom="1" header="0.5" footer="0.5"/>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dimension ref="A1:U1048554"/>
  <sheetViews>
    <sheetView zoomScaleNormal="100" workbookViewId="0">
      <pane xSplit="1" ySplit="1" topLeftCell="O2" activePane="bottomRight" state="frozen"/>
      <selection pane="bottomRight" activeCell="O1" sqref="O1"/>
      <selection pane="bottomLeft" activeCell="A2" sqref="A2"/>
      <selection pane="topRight" activeCell="B1" sqref="B1"/>
    </sheetView>
  </sheetViews>
  <sheetFormatPr defaultRowHeight="14.45"/>
  <cols>
    <col min="1" max="1" width="28.7109375" customWidth="1"/>
    <col min="2" max="2" width="13" customWidth="1"/>
    <col min="3" max="3" width="15.140625" bestFit="1" customWidth="1"/>
    <col min="4" max="4" width="13" customWidth="1"/>
    <col min="5" max="7" width="16" customWidth="1"/>
    <col min="8" max="8" width="23" customWidth="1"/>
    <col min="9" max="9" width="18" customWidth="1"/>
    <col min="10" max="10" width="14" customWidth="1"/>
    <col min="11" max="11" width="15" customWidth="1"/>
    <col min="12" max="12" width="13" customWidth="1"/>
    <col min="13" max="13" width="15" customWidth="1"/>
    <col min="14" max="14" width="14" customWidth="1"/>
    <col min="15" max="16" width="15" customWidth="1"/>
    <col min="17" max="17" width="14" customWidth="1"/>
    <col min="18" max="18" width="17" customWidth="1"/>
    <col min="19" max="19" width="19" customWidth="1"/>
    <col min="20" max="20" width="22.5703125" customWidth="1"/>
  </cols>
  <sheetData>
    <row r="1" spans="1:21">
      <c r="A1" s="37" t="s">
        <v>110</v>
      </c>
      <c r="B1" s="37" t="s">
        <v>15</v>
      </c>
      <c r="C1" s="37" t="s">
        <v>20</v>
      </c>
      <c r="D1" s="37" t="s">
        <v>101</v>
      </c>
      <c r="E1" s="37" t="s">
        <v>111</v>
      </c>
      <c r="F1" s="37" t="s">
        <v>112</v>
      </c>
      <c r="G1" s="37" t="s">
        <v>113</v>
      </c>
      <c r="H1" s="37" t="s">
        <v>114</v>
      </c>
      <c r="I1" s="37" t="s">
        <v>32</v>
      </c>
      <c r="J1" s="37" t="s">
        <v>38</v>
      </c>
      <c r="K1" s="37" t="s">
        <v>44</v>
      </c>
      <c r="L1" s="37" t="s">
        <v>47</v>
      </c>
      <c r="M1" s="37" t="s">
        <v>106</v>
      </c>
      <c r="N1" s="37" t="s">
        <v>58</v>
      </c>
      <c r="O1" s="37" t="s">
        <v>60</v>
      </c>
      <c r="P1" s="37" t="s">
        <v>115</v>
      </c>
      <c r="Q1" s="37" t="s">
        <v>71</v>
      </c>
      <c r="R1" s="37" t="s">
        <v>76</v>
      </c>
      <c r="S1" s="37" t="s">
        <v>80</v>
      </c>
      <c r="T1" s="113" t="s">
        <v>0</v>
      </c>
      <c r="U1" s="114"/>
    </row>
    <row r="2" spans="1:21">
      <c r="A2" t="s">
        <v>116</v>
      </c>
      <c r="B2" s="122">
        <v>27.2</v>
      </c>
      <c r="C2" s="122">
        <v>5</v>
      </c>
      <c r="D2" s="122">
        <v>13.134851138</v>
      </c>
      <c r="E2" s="111"/>
      <c r="F2" s="111">
        <v>13.134851138</v>
      </c>
      <c r="G2" s="111"/>
      <c r="H2" s="111">
        <v>0.46029999999999999</v>
      </c>
      <c r="I2" s="111">
        <v>0.46029999999999999</v>
      </c>
      <c r="J2" s="122">
        <v>10.938471099999999</v>
      </c>
      <c r="K2" s="122">
        <v>7.3502161829999997</v>
      </c>
      <c r="L2" s="111">
        <v>20.913281439999999</v>
      </c>
      <c r="M2" s="111">
        <v>4.5438463870000003</v>
      </c>
      <c r="N2" s="111">
        <v>3.27529469</v>
      </c>
      <c r="O2" s="122">
        <v>4.8792671099999998</v>
      </c>
      <c r="P2" s="122">
        <v>26.2</v>
      </c>
      <c r="Q2" s="111">
        <v>27.352549073999999</v>
      </c>
      <c r="R2" s="111">
        <v>321.10866993399998</v>
      </c>
      <c r="S2" s="111">
        <v>20.195220463999998</v>
      </c>
      <c r="T2" s="115" t="s">
        <v>1</v>
      </c>
      <c r="U2" s="116"/>
    </row>
    <row r="3" spans="1:21">
      <c r="A3" t="s">
        <v>117</v>
      </c>
      <c r="B3" s="122">
        <v>15.8</v>
      </c>
      <c r="C3" s="122">
        <v>2.7</v>
      </c>
      <c r="D3" s="122">
        <v>12.195121951000001</v>
      </c>
      <c r="E3" s="111"/>
      <c r="F3" s="111">
        <v>12.195121951000001</v>
      </c>
      <c r="G3" s="111"/>
      <c r="H3" s="111">
        <v>0.48920000000000002</v>
      </c>
      <c r="I3" s="111">
        <v>0.48920000000000002</v>
      </c>
      <c r="J3" s="122">
        <v>10.231023102</v>
      </c>
      <c r="K3" s="122">
        <v>7.2607260729999998</v>
      </c>
      <c r="L3" s="111">
        <v>25.361534290000002</v>
      </c>
      <c r="M3" s="111">
        <v>5.6932922990000003</v>
      </c>
      <c r="N3" s="111">
        <v>4.0191812699999998</v>
      </c>
      <c r="O3" s="122">
        <v>5.7594324700000001</v>
      </c>
      <c r="P3" s="122"/>
      <c r="Q3" s="111">
        <v>7.8125</v>
      </c>
      <c r="R3" s="111">
        <v>0</v>
      </c>
      <c r="S3" s="111">
        <v>18.617021276999999</v>
      </c>
    </row>
    <row r="4" spans="1:21">
      <c r="A4" t="s">
        <v>118</v>
      </c>
      <c r="B4" s="122">
        <v>19.100000000000001</v>
      </c>
      <c r="C4" s="122">
        <v>5.3</v>
      </c>
      <c r="D4" s="122">
        <v>7.0298769769999998</v>
      </c>
      <c r="E4" s="111"/>
      <c r="F4" s="111">
        <v>7.0298769769999998</v>
      </c>
      <c r="G4" s="111"/>
      <c r="H4" s="111">
        <v>0.4743</v>
      </c>
      <c r="I4" s="111">
        <v>0.4743</v>
      </c>
      <c r="J4" s="122">
        <v>14.320685435</v>
      </c>
      <c r="K4" s="122">
        <v>10.281517748000001</v>
      </c>
      <c r="L4" s="111">
        <v>22.01628126</v>
      </c>
      <c r="M4" s="111">
        <v>4.8096602690000001</v>
      </c>
      <c r="N4" s="111">
        <v>3.4463158100000002</v>
      </c>
      <c r="O4" s="122">
        <v>5.1146483500000004</v>
      </c>
      <c r="P4" s="122">
        <v>15.9</v>
      </c>
      <c r="Q4" s="111">
        <v>15.454478869000001</v>
      </c>
      <c r="R4" s="111">
        <v>220.264317181</v>
      </c>
      <c r="S4" s="111">
        <v>9.4577553590000001</v>
      </c>
    </row>
    <row r="5" spans="1:21">
      <c r="A5" t="s">
        <v>119</v>
      </c>
      <c r="B5" s="122">
        <v>12.4</v>
      </c>
      <c r="C5" s="122">
        <v>2.6</v>
      </c>
      <c r="D5" s="122">
        <v>6.0085836910000001</v>
      </c>
      <c r="E5" s="111"/>
      <c r="F5" s="111">
        <v>6.0085836910000001</v>
      </c>
      <c r="G5" s="111"/>
      <c r="H5" s="111">
        <v>0.4294</v>
      </c>
      <c r="I5" s="111">
        <v>0.4294</v>
      </c>
      <c r="J5" s="122">
        <v>10.891089108999999</v>
      </c>
      <c r="K5" s="122">
        <v>8.2508250830000005</v>
      </c>
      <c r="L5" s="111">
        <v>25.361534290000002</v>
      </c>
      <c r="M5" s="111">
        <v>5.6932922990000003</v>
      </c>
      <c r="N5" s="111">
        <v>4.0191812699999998</v>
      </c>
      <c r="O5" s="122">
        <v>5.7594324700000001</v>
      </c>
      <c r="P5" s="122">
        <v>22.2</v>
      </c>
      <c r="Q5" s="111">
        <v>8.0238850530000008</v>
      </c>
      <c r="R5" s="111">
        <v>639.65884861400002</v>
      </c>
      <c r="S5" s="111">
        <v>0.71581961299999997</v>
      </c>
    </row>
    <row r="6" spans="1:21">
      <c r="A6" t="s">
        <v>120</v>
      </c>
      <c r="B6" s="122">
        <v>17.3</v>
      </c>
      <c r="C6" s="122">
        <v>4</v>
      </c>
      <c r="D6" s="122">
        <v>10.613437196</v>
      </c>
      <c r="E6" s="111"/>
      <c r="F6" s="111">
        <v>10.613437196</v>
      </c>
      <c r="G6" s="111"/>
      <c r="H6" s="111">
        <v>0.45169999999999999</v>
      </c>
      <c r="I6" s="111">
        <v>0.45169999999999999</v>
      </c>
      <c r="J6" s="122">
        <v>10.922897195999999</v>
      </c>
      <c r="K6" s="122">
        <v>8.7770626099999998</v>
      </c>
      <c r="L6" s="111">
        <v>25.361534290000002</v>
      </c>
      <c r="M6" s="111">
        <v>5.6932922990000003</v>
      </c>
      <c r="N6" s="111">
        <v>4.0191812699999998</v>
      </c>
      <c r="O6" s="122">
        <v>5.7594324700000001</v>
      </c>
      <c r="P6" s="122">
        <v>22.1</v>
      </c>
      <c r="Q6" s="111">
        <v>23.367210929999999</v>
      </c>
      <c r="R6" s="111">
        <v>426.66666666700002</v>
      </c>
      <c r="S6" s="111">
        <v>19.002375297</v>
      </c>
    </row>
    <row r="7" spans="1:21">
      <c r="A7" t="s">
        <v>121</v>
      </c>
      <c r="B7" s="122">
        <v>17.7</v>
      </c>
      <c r="C7" s="122">
        <v>2.9</v>
      </c>
      <c r="D7" s="122">
        <v>11.262798634999999</v>
      </c>
      <c r="E7" s="111"/>
      <c r="F7" s="111">
        <v>11.262798634999999</v>
      </c>
      <c r="G7" s="111"/>
      <c r="H7" s="111">
        <v>0.44529999999999997</v>
      </c>
      <c r="I7" s="111">
        <v>0.44529999999999997</v>
      </c>
      <c r="J7" s="122">
        <v>9.2797783930000008</v>
      </c>
      <c r="K7" s="122">
        <v>6.9060773480000002</v>
      </c>
      <c r="L7" s="111">
        <v>25.361534290000002</v>
      </c>
      <c r="M7" s="111">
        <v>5.6932922990000003</v>
      </c>
      <c r="N7" s="111">
        <v>4.0191812699999998</v>
      </c>
      <c r="O7" s="122">
        <v>5.7594324700000001</v>
      </c>
      <c r="P7" s="122">
        <v>24.9</v>
      </c>
      <c r="Q7" s="111">
        <v>12.336244540999999</v>
      </c>
      <c r="R7" s="111">
        <v>38.476337053000002</v>
      </c>
      <c r="S7" s="111">
        <v>39.467645709000003</v>
      </c>
    </row>
    <row r="8" spans="1:21">
      <c r="A8" t="s">
        <v>122</v>
      </c>
      <c r="B8" s="122">
        <v>18.2</v>
      </c>
      <c r="C8" s="122">
        <v>3.8</v>
      </c>
      <c r="D8" s="122">
        <v>4.8861283640000002</v>
      </c>
      <c r="E8" s="111"/>
      <c r="F8" s="111">
        <v>4.8861283640000002</v>
      </c>
      <c r="G8" s="111"/>
      <c r="H8" s="111">
        <v>0.4526</v>
      </c>
      <c r="I8" s="111">
        <v>0.4526</v>
      </c>
      <c r="J8" s="122">
        <v>13.046448087</v>
      </c>
      <c r="K8" s="122">
        <v>7.9495052880000001</v>
      </c>
      <c r="L8" s="111">
        <v>22.01628126</v>
      </c>
      <c r="M8" s="111">
        <v>4.8096602690000001</v>
      </c>
      <c r="N8" s="111">
        <v>3.4463158100000002</v>
      </c>
      <c r="O8" s="122">
        <v>5.1146483500000004</v>
      </c>
      <c r="P8" s="122">
        <v>18.8</v>
      </c>
      <c r="Q8" s="111">
        <v>48.257847433999999</v>
      </c>
      <c r="R8" s="111">
        <v>1403.4761594940001</v>
      </c>
      <c r="S8" s="111">
        <v>13.998082454</v>
      </c>
    </row>
    <row r="9" spans="1:21">
      <c r="A9" t="s">
        <v>123</v>
      </c>
      <c r="B9" s="122">
        <v>21.1</v>
      </c>
      <c r="C9" s="122">
        <v>4.5</v>
      </c>
      <c r="D9" s="122">
        <v>8.0459770109999997</v>
      </c>
      <c r="E9" s="111"/>
      <c r="F9" s="111">
        <v>8.0459770109999997</v>
      </c>
      <c r="G9" s="111"/>
      <c r="H9" s="111">
        <v>0.4481</v>
      </c>
      <c r="I9" s="111">
        <v>0.4481</v>
      </c>
      <c r="J9" s="122">
        <v>10.580708660999999</v>
      </c>
      <c r="K9" s="122">
        <v>7.6508092200000002</v>
      </c>
      <c r="L9" s="111">
        <v>25.361534290000002</v>
      </c>
      <c r="M9" s="111">
        <v>5.6932922990000003</v>
      </c>
      <c r="N9" s="111">
        <v>4.0191812699999998</v>
      </c>
      <c r="O9" s="122">
        <v>5.7594324700000001</v>
      </c>
      <c r="P9" s="122">
        <v>19.8</v>
      </c>
      <c r="Q9" s="111">
        <v>21.420479901</v>
      </c>
      <c r="R9" s="111">
        <v>1283.917935142</v>
      </c>
      <c r="S9" s="111">
        <v>15.62082777</v>
      </c>
    </row>
    <row r="10" spans="1:21">
      <c r="A10" s="121" t="s">
        <v>124</v>
      </c>
      <c r="B10" s="122">
        <v>7.5</v>
      </c>
      <c r="C10" s="122">
        <v>3.6</v>
      </c>
      <c r="D10" s="122">
        <v>2.1755327069999999</v>
      </c>
      <c r="E10" s="111"/>
      <c r="F10" s="111">
        <v>2.1755327069999999</v>
      </c>
      <c r="G10" s="111">
        <v>0.39279999999999998</v>
      </c>
      <c r="H10" s="111">
        <v>0.39489999999999997</v>
      </c>
      <c r="I10" s="111">
        <v>0.39279999999999998</v>
      </c>
      <c r="J10" s="122">
        <v>9.4413215560000001</v>
      </c>
      <c r="K10" s="122">
        <v>6.7324234430000001</v>
      </c>
      <c r="L10" s="111">
        <v>25.091878449999999</v>
      </c>
      <c r="M10" s="111">
        <v>5.3871208250000002</v>
      </c>
      <c r="N10" s="111">
        <v>3.6667266700000001</v>
      </c>
      <c r="O10" s="122">
        <v>5.6451455900000003</v>
      </c>
      <c r="P10" s="122">
        <v>10.4</v>
      </c>
      <c r="Q10" s="111">
        <v>29.635386498999999</v>
      </c>
      <c r="R10" s="111">
        <v>1366.6601720149999</v>
      </c>
      <c r="S10" s="111">
        <v>10.151250727000001</v>
      </c>
    </row>
    <row r="11" spans="1:21">
      <c r="A11" s="121" t="s">
        <v>125</v>
      </c>
      <c r="B11" s="122">
        <v>17</v>
      </c>
      <c r="C11" s="122">
        <v>4.5999999999999996</v>
      </c>
      <c r="D11" s="122">
        <v>10.027855153000001</v>
      </c>
      <c r="E11" s="111"/>
      <c r="F11" s="111">
        <v>10.027855153000001</v>
      </c>
      <c r="G11" s="111"/>
      <c r="H11" s="111">
        <v>0.46689999999999998</v>
      </c>
      <c r="I11" s="111">
        <v>0.46689999999999998</v>
      </c>
      <c r="J11" s="122">
        <v>11.160318866000001</v>
      </c>
      <c r="K11" s="122">
        <v>8.913813459</v>
      </c>
      <c r="L11" s="111">
        <v>22.01628126</v>
      </c>
      <c r="M11" s="111">
        <v>4.8096602690000001</v>
      </c>
      <c r="N11" s="111">
        <v>3.4463158100000002</v>
      </c>
      <c r="O11" s="122">
        <v>5.1146483500000004</v>
      </c>
      <c r="P11" s="122">
        <v>24</v>
      </c>
      <c r="Q11" s="111">
        <v>39.566495979999999</v>
      </c>
      <c r="R11" s="111">
        <v>1877.8961060080001</v>
      </c>
      <c r="S11" s="111">
        <v>20.351901402999999</v>
      </c>
    </row>
    <row r="12" spans="1:21">
      <c r="A12" t="s">
        <v>126</v>
      </c>
      <c r="B12" s="122">
        <v>21.2</v>
      </c>
      <c r="C12" s="122">
        <v>5.5</v>
      </c>
      <c r="D12" s="122">
        <v>7.3981970779999999</v>
      </c>
      <c r="E12" s="111"/>
      <c r="F12" s="111">
        <v>7.3981970779999999</v>
      </c>
      <c r="G12" s="111"/>
      <c r="H12" s="111">
        <v>0.45779999999999998</v>
      </c>
      <c r="I12" s="111">
        <v>0.45779999999999998</v>
      </c>
      <c r="J12" s="122">
        <v>12.607647261</v>
      </c>
      <c r="K12" s="122">
        <v>7.7476859789999999</v>
      </c>
      <c r="L12" s="111">
        <v>20.913281439999999</v>
      </c>
      <c r="M12" s="111">
        <v>4.5438463870000003</v>
      </c>
      <c r="N12" s="111">
        <v>3.27529469</v>
      </c>
      <c r="O12" s="122">
        <v>4.8792671099999998</v>
      </c>
      <c r="P12" s="122">
        <v>18.899999999999999</v>
      </c>
      <c r="Q12" s="111">
        <v>20.547097412999999</v>
      </c>
      <c r="R12" s="111">
        <v>100.209529015</v>
      </c>
      <c r="S12" s="111">
        <v>16.476096156000001</v>
      </c>
    </row>
    <row r="13" spans="1:21">
      <c r="A13" t="s">
        <v>127</v>
      </c>
      <c r="B13" s="122">
        <v>26.3</v>
      </c>
      <c r="C13" s="122">
        <v>6.2</v>
      </c>
      <c r="D13" s="122">
        <v>8.1312410839999991</v>
      </c>
      <c r="E13" s="111"/>
      <c r="F13" s="111">
        <v>8.1312410839999991</v>
      </c>
      <c r="G13" s="111"/>
      <c r="H13" s="111">
        <v>0.50770000000000004</v>
      </c>
      <c r="I13" s="111">
        <v>0.50770000000000004</v>
      </c>
      <c r="J13" s="122">
        <v>12.7</v>
      </c>
      <c r="K13" s="122">
        <v>10.149253731</v>
      </c>
      <c r="L13" s="111">
        <v>22.01628126</v>
      </c>
      <c r="M13" s="111">
        <v>4.8096602690000001</v>
      </c>
      <c r="N13" s="111">
        <v>3.4463158100000002</v>
      </c>
      <c r="O13" s="122">
        <v>5.1146483500000004</v>
      </c>
      <c r="P13" s="122">
        <v>26.9</v>
      </c>
      <c r="Q13" s="111">
        <v>16.737245412</v>
      </c>
      <c r="R13" s="111">
        <v>788.95463510800005</v>
      </c>
      <c r="S13" s="111">
        <v>21.393307735</v>
      </c>
    </row>
    <row r="14" spans="1:21">
      <c r="A14" t="s">
        <v>128</v>
      </c>
      <c r="B14" s="122">
        <v>17.399999999999999</v>
      </c>
      <c r="C14" s="122">
        <v>2.4</v>
      </c>
      <c r="D14" s="122">
        <v>2.3529411759999999</v>
      </c>
      <c r="E14" s="111"/>
      <c r="F14" s="111">
        <v>2.3529411759999999</v>
      </c>
      <c r="G14" s="111"/>
      <c r="H14" s="111">
        <v>0.47349999999999998</v>
      </c>
      <c r="I14" s="111">
        <v>0.47349999999999998</v>
      </c>
      <c r="J14" s="122">
        <v>7.7519379839999996</v>
      </c>
      <c r="K14" s="122"/>
      <c r="L14" s="111">
        <v>25.361534290000002</v>
      </c>
      <c r="M14" s="111">
        <v>5.6932922990000003</v>
      </c>
      <c r="N14" s="111">
        <v>4.0191812699999998</v>
      </c>
      <c r="O14" s="122">
        <v>5.7594324700000001</v>
      </c>
      <c r="P14" s="122">
        <v>0</v>
      </c>
      <c r="Q14" s="111">
        <v>5.092592593</v>
      </c>
      <c r="R14" s="111">
        <v>190.476190476</v>
      </c>
      <c r="S14" s="111">
        <v>3.7383177569999999</v>
      </c>
    </row>
    <row r="15" spans="1:21">
      <c r="A15" t="s">
        <v>129</v>
      </c>
      <c r="B15" s="122">
        <v>11.6</v>
      </c>
      <c r="C15" s="122">
        <v>3.5</v>
      </c>
      <c r="D15" s="122">
        <v>5.3293443539999998</v>
      </c>
      <c r="E15" s="111">
        <v>5.3293443539999998</v>
      </c>
      <c r="F15" s="111">
        <v>3.1612980479999999</v>
      </c>
      <c r="G15" s="111">
        <v>0.43369999999999997</v>
      </c>
      <c r="H15" s="111">
        <v>0.42949999999999999</v>
      </c>
      <c r="I15" s="111">
        <v>0.43369999999999997</v>
      </c>
      <c r="J15" s="122">
        <v>10.461726219000001</v>
      </c>
      <c r="K15" s="122">
        <v>7.3132709770000002</v>
      </c>
      <c r="L15" s="111">
        <v>25.091878449999999</v>
      </c>
      <c r="M15" s="111">
        <v>5.3871208250000002</v>
      </c>
      <c r="N15" s="111">
        <v>3.6667266700000001</v>
      </c>
      <c r="O15" s="122">
        <v>5.6451455900000003</v>
      </c>
      <c r="P15" s="122">
        <v>12.4</v>
      </c>
      <c r="Q15" s="111">
        <v>35.890968354999998</v>
      </c>
      <c r="R15" s="111">
        <v>1997.7892649309999</v>
      </c>
      <c r="S15" s="111">
        <v>11.011191703</v>
      </c>
    </row>
    <row r="16" spans="1:21">
      <c r="A16" t="s">
        <v>130</v>
      </c>
      <c r="B16" s="122">
        <v>22.1</v>
      </c>
      <c r="C16" s="122">
        <v>5.4</v>
      </c>
      <c r="D16" s="122">
        <v>9.4155844159999997</v>
      </c>
      <c r="E16" s="111"/>
      <c r="F16" s="111">
        <v>9.4155844159999997</v>
      </c>
      <c r="G16" s="111"/>
      <c r="H16" s="111">
        <v>0.50609999999999999</v>
      </c>
      <c r="I16" s="111">
        <v>0.50609999999999999</v>
      </c>
      <c r="J16" s="122">
        <v>12.023460411</v>
      </c>
      <c r="K16" s="122">
        <v>8.7463556849999993</v>
      </c>
      <c r="L16" s="111">
        <v>22.01628126</v>
      </c>
      <c r="M16" s="111">
        <v>4.8096602690000001</v>
      </c>
      <c r="N16" s="111">
        <v>3.4463158100000002</v>
      </c>
      <c r="O16" s="122">
        <v>5.1146483500000004</v>
      </c>
      <c r="P16" s="122">
        <v>24.9</v>
      </c>
      <c r="Q16" s="111">
        <v>11.836441894</v>
      </c>
      <c r="R16" s="111">
        <v>0</v>
      </c>
      <c r="S16" s="111">
        <v>9.9502487560000006</v>
      </c>
    </row>
    <row r="17" spans="1:19">
      <c r="A17" t="s">
        <v>131</v>
      </c>
      <c r="B17" s="122">
        <v>16.8</v>
      </c>
      <c r="C17" s="122">
        <v>4.4000000000000004</v>
      </c>
      <c r="D17" s="122">
        <v>3.323222999</v>
      </c>
      <c r="E17" s="111"/>
      <c r="F17" s="111">
        <v>3.323222999</v>
      </c>
      <c r="G17" s="111">
        <v>0.45950000000000002</v>
      </c>
      <c r="H17" s="111">
        <v>0.45</v>
      </c>
      <c r="I17" s="111">
        <v>0.45950000000000002</v>
      </c>
      <c r="J17" s="122">
        <v>9.3739757459999993</v>
      </c>
      <c r="K17" s="122">
        <v>7.52101299</v>
      </c>
      <c r="L17" s="111">
        <v>25.361534290000002</v>
      </c>
      <c r="M17" s="111">
        <v>5.6932922990000003</v>
      </c>
      <c r="N17" s="111">
        <v>4.0191812699999998</v>
      </c>
      <c r="O17" s="122">
        <v>5.7594324700000001</v>
      </c>
      <c r="P17" s="122">
        <v>13.9</v>
      </c>
      <c r="Q17" s="111">
        <v>39.790413794000003</v>
      </c>
      <c r="R17" s="111">
        <v>2323.2013099989999</v>
      </c>
      <c r="S17" s="111">
        <v>11.355758756</v>
      </c>
    </row>
    <row r="18" spans="1:19">
      <c r="A18" t="s">
        <v>132</v>
      </c>
      <c r="B18" s="122">
        <v>18.5</v>
      </c>
      <c r="C18" s="122">
        <v>4</v>
      </c>
      <c r="D18" s="122">
        <v>4.0625</v>
      </c>
      <c r="E18" s="111"/>
      <c r="F18" s="111">
        <v>4.0625</v>
      </c>
      <c r="G18" s="111"/>
      <c r="H18" s="111">
        <v>0.38269999999999998</v>
      </c>
      <c r="I18" s="111">
        <v>0.38269999999999998</v>
      </c>
      <c r="J18" s="122">
        <v>12.5</v>
      </c>
      <c r="K18" s="122">
        <v>9.5238095240000007</v>
      </c>
      <c r="L18" s="111">
        <v>25.361534290000002</v>
      </c>
      <c r="M18" s="111">
        <v>5.6932922990000003</v>
      </c>
      <c r="N18" s="111">
        <v>4.0191812699999998</v>
      </c>
      <c r="O18" s="122">
        <v>5.7594324700000001</v>
      </c>
      <c r="P18" s="122"/>
      <c r="Q18" s="111">
        <v>13.657056146</v>
      </c>
      <c r="R18" s="111">
        <v>0</v>
      </c>
      <c r="S18" s="111">
        <v>6.3202247189999996</v>
      </c>
    </row>
    <row r="19" spans="1:19">
      <c r="A19" t="s">
        <v>133</v>
      </c>
      <c r="B19" s="122">
        <v>19.8</v>
      </c>
      <c r="C19" s="122">
        <v>4.5</v>
      </c>
      <c r="D19" s="122">
        <v>9.0909090910000003</v>
      </c>
      <c r="E19" s="111"/>
      <c r="F19" s="111">
        <v>9.0909090910000003</v>
      </c>
      <c r="G19" s="111"/>
      <c r="H19" s="111">
        <v>0.4279</v>
      </c>
      <c r="I19" s="111">
        <v>0.4279</v>
      </c>
      <c r="J19" s="122">
        <v>10.984848485000001</v>
      </c>
      <c r="K19" s="122">
        <v>7.4307304790000002</v>
      </c>
      <c r="L19" s="111">
        <v>22.236668210000001</v>
      </c>
      <c r="M19" s="111">
        <v>5.8160931810000003</v>
      </c>
      <c r="N19" s="111">
        <v>3.5138264100000001</v>
      </c>
      <c r="O19" s="122">
        <v>4.96312525</v>
      </c>
      <c r="P19" s="122">
        <v>19.3</v>
      </c>
      <c r="Q19" s="111">
        <v>12.791726203</v>
      </c>
      <c r="R19" s="111">
        <v>491.85367353200002</v>
      </c>
      <c r="S19" s="111">
        <v>12.588271414999999</v>
      </c>
    </row>
    <row r="20" spans="1:19">
      <c r="A20" t="s">
        <v>134</v>
      </c>
      <c r="B20" s="122">
        <v>16.3</v>
      </c>
      <c r="C20" s="122">
        <v>5</v>
      </c>
      <c r="D20" s="122">
        <v>4.4098230789999997</v>
      </c>
      <c r="E20" s="111"/>
      <c r="F20" s="111">
        <v>4.4098230789999997</v>
      </c>
      <c r="G20" s="111">
        <v>0.44190000000000002</v>
      </c>
      <c r="H20" s="111">
        <v>0.44219999999999998</v>
      </c>
      <c r="I20" s="111">
        <v>0.44190000000000002</v>
      </c>
      <c r="J20" s="122">
        <v>10.422469824</v>
      </c>
      <c r="K20" s="122">
        <v>6.7611524159999998</v>
      </c>
      <c r="L20" s="111">
        <v>20.913281439999999</v>
      </c>
      <c r="M20" s="111">
        <v>4.5438463870000003</v>
      </c>
      <c r="N20" s="111">
        <v>3.27529469</v>
      </c>
      <c r="O20" s="122">
        <v>4.8792671099999998</v>
      </c>
      <c r="P20" s="122">
        <v>20.8</v>
      </c>
      <c r="Q20" s="111">
        <v>20.926185321999998</v>
      </c>
      <c r="R20" s="111">
        <v>1103.391908459</v>
      </c>
      <c r="S20" s="111">
        <v>10.486454996000001</v>
      </c>
    </row>
    <row r="21" spans="1:19">
      <c r="A21" t="s">
        <v>135</v>
      </c>
      <c r="B21" s="122">
        <v>14.9</v>
      </c>
      <c r="C21" s="122">
        <v>3.3</v>
      </c>
      <c r="D21" s="122">
        <v>2.3629964810000001</v>
      </c>
      <c r="E21" s="111"/>
      <c r="F21" s="111">
        <v>2.3629964810000001</v>
      </c>
      <c r="G21" s="111"/>
      <c r="H21" s="111">
        <v>0.4471</v>
      </c>
      <c r="I21" s="111">
        <v>0.4471</v>
      </c>
      <c r="J21" s="122">
        <v>9.8389982109999998</v>
      </c>
      <c r="K21" s="122">
        <v>7.5100581139999996</v>
      </c>
      <c r="L21" s="111">
        <v>25.361534290000002</v>
      </c>
      <c r="M21" s="111">
        <v>5.6932922990000003</v>
      </c>
      <c r="N21" s="111">
        <v>4.0191812699999998</v>
      </c>
      <c r="O21" s="122">
        <v>5.7594324700000001</v>
      </c>
      <c r="P21" s="122">
        <v>9.6</v>
      </c>
      <c r="Q21" s="111">
        <v>17.494262812999999</v>
      </c>
      <c r="R21" s="111">
        <v>821.242814125</v>
      </c>
      <c r="S21" s="111">
        <v>14.902506964000001</v>
      </c>
    </row>
    <row r="22" spans="1:19">
      <c r="A22" t="s">
        <v>136</v>
      </c>
      <c r="B22" s="122">
        <v>18.399999999999999</v>
      </c>
      <c r="C22" s="122">
        <v>4.4000000000000004</v>
      </c>
      <c r="D22" s="122">
        <v>3.7667698660000002</v>
      </c>
      <c r="E22" s="111"/>
      <c r="F22" s="111">
        <v>3.7667698660000002</v>
      </c>
      <c r="G22" s="111"/>
      <c r="H22" s="111">
        <v>0.45319999999999999</v>
      </c>
      <c r="I22" s="111">
        <v>0.45319999999999999</v>
      </c>
      <c r="J22" s="122">
        <v>12.142522269000001</v>
      </c>
      <c r="K22" s="122">
        <v>8.0765639589999996</v>
      </c>
      <c r="L22" s="111">
        <v>22.236668210000001</v>
      </c>
      <c r="M22" s="111">
        <v>5.8160931810000003</v>
      </c>
      <c r="N22" s="111">
        <v>3.5138264100000001</v>
      </c>
      <c r="O22" s="122">
        <v>4.96312525</v>
      </c>
      <c r="P22" s="122">
        <v>13.3</v>
      </c>
      <c r="Q22" s="111">
        <v>15.496544198</v>
      </c>
      <c r="R22" s="111">
        <v>573.77049180300003</v>
      </c>
      <c r="S22" s="111">
        <v>6.7637280750000004</v>
      </c>
    </row>
    <row r="23" spans="1:19">
      <c r="A23" t="s">
        <v>137</v>
      </c>
      <c r="B23" s="122">
        <v>13.5</v>
      </c>
      <c r="C23" s="122">
        <v>3</v>
      </c>
      <c r="D23" s="122">
        <v>8.8435374150000001</v>
      </c>
      <c r="E23" s="111"/>
      <c r="F23" s="111">
        <v>8.8435374150000001</v>
      </c>
      <c r="G23" s="111"/>
      <c r="H23" s="111">
        <v>0.45150000000000001</v>
      </c>
      <c r="I23" s="111">
        <v>0.45150000000000001</v>
      </c>
      <c r="J23" s="122">
        <v>12.974683543999999</v>
      </c>
      <c r="K23" s="122">
        <v>8.5714285710000002</v>
      </c>
      <c r="L23" s="111">
        <v>25.361534290000002</v>
      </c>
      <c r="M23" s="111">
        <v>5.6932922990000003</v>
      </c>
      <c r="N23" s="111">
        <v>4.0191812699999998</v>
      </c>
      <c r="O23" s="122">
        <v>5.7594324700000001</v>
      </c>
      <c r="P23" s="122"/>
      <c r="Q23" s="111">
        <v>8.3899320819999996</v>
      </c>
      <c r="R23" s="111">
        <v>2078.3373301360002</v>
      </c>
      <c r="S23" s="111">
        <v>16.693163752</v>
      </c>
    </row>
    <row r="24" spans="1:19">
      <c r="A24" t="s">
        <v>138</v>
      </c>
      <c r="B24" s="122">
        <v>13.5</v>
      </c>
      <c r="C24" s="122">
        <v>3.3</v>
      </c>
      <c r="D24" s="122">
        <v>14.942528736</v>
      </c>
      <c r="E24" s="111"/>
      <c r="F24" s="111">
        <v>14.942528736</v>
      </c>
      <c r="G24" s="111"/>
      <c r="H24" s="111">
        <v>0.47749999999999998</v>
      </c>
      <c r="I24" s="111">
        <v>0.47749999999999998</v>
      </c>
      <c r="J24" s="122">
        <v>11.818181817999999</v>
      </c>
      <c r="K24" s="122">
        <v>6.8181818180000002</v>
      </c>
      <c r="L24" s="111">
        <v>25.361534290000002</v>
      </c>
      <c r="M24" s="111">
        <v>5.6932922990000003</v>
      </c>
      <c r="N24" s="111">
        <v>4.0191812699999998</v>
      </c>
      <c r="O24" s="122">
        <v>5.7594324700000001</v>
      </c>
      <c r="P24" s="122"/>
      <c r="Q24" s="111">
        <v>11.355571327</v>
      </c>
      <c r="R24" s="111">
        <v>0</v>
      </c>
      <c r="S24" s="111">
        <v>4.0650406500000003</v>
      </c>
    </row>
    <row r="25" spans="1:19">
      <c r="A25" t="s">
        <v>139</v>
      </c>
      <c r="B25" s="122">
        <v>14</v>
      </c>
      <c r="C25" s="122">
        <v>3.9</v>
      </c>
      <c r="D25" s="122">
        <v>7.0575461449999999</v>
      </c>
      <c r="E25" s="111"/>
      <c r="F25" s="111">
        <v>7.0575461449999999</v>
      </c>
      <c r="G25" s="111"/>
      <c r="H25" s="111">
        <v>0.43149999999999999</v>
      </c>
      <c r="I25" s="111">
        <v>0.43149999999999999</v>
      </c>
      <c r="J25" s="122">
        <v>9.6962130670000004</v>
      </c>
      <c r="K25" s="122">
        <v>8.3003952569999999</v>
      </c>
      <c r="L25" s="111">
        <v>25.361534290000002</v>
      </c>
      <c r="M25" s="111">
        <v>5.6932922990000003</v>
      </c>
      <c r="N25" s="111">
        <v>4.0191812699999998</v>
      </c>
      <c r="O25" s="122">
        <v>5.7594324700000001</v>
      </c>
      <c r="P25" s="122">
        <v>9.3000000000000007</v>
      </c>
      <c r="Q25" s="111">
        <v>38.635081782</v>
      </c>
      <c r="R25" s="111">
        <v>1638.330757342</v>
      </c>
      <c r="S25" s="111">
        <v>15.054972513999999</v>
      </c>
    </row>
    <row r="26" spans="1:19">
      <c r="A26" t="s">
        <v>140</v>
      </c>
      <c r="B26" s="122">
        <v>17.100000000000001</v>
      </c>
      <c r="C26" s="122">
        <v>4.2</v>
      </c>
      <c r="D26" s="122">
        <v>11.390635918999999</v>
      </c>
      <c r="E26" s="111"/>
      <c r="F26" s="111">
        <v>11.390635918999999</v>
      </c>
      <c r="G26" s="111"/>
      <c r="H26" s="111">
        <v>0.45379999999999998</v>
      </c>
      <c r="I26" s="111">
        <v>0.45379999999999998</v>
      </c>
      <c r="J26" s="122">
        <v>10.710441335000001</v>
      </c>
      <c r="K26" s="122">
        <v>8.9929994610000001</v>
      </c>
      <c r="L26" s="111">
        <v>22.01628126</v>
      </c>
      <c r="M26" s="111">
        <v>4.8096602690000001</v>
      </c>
      <c r="N26" s="111">
        <v>3.4463158100000002</v>
      </c>
      <c r="O26" s="122">
        <v>5.1146483500000004</v>
      </c>
      <c r="P26" s="122">
        <v>23.7</v>
      </c>
      <c r="Q26" s="111">
        <v>31.312145207</v>
      </c>
      <c r="R26" s="111">
        <v>1311.7066290549999</v>
      </c>
      <c r="S26" s="111">
        <v>18.459302326</v>
      </c>
    </row>
    <row r="27" spans="1:19">
      <c r="A27" t="s">
        <v>141</v>
      </c>
      <c r="B27" s="122">
        <v>13.2</v>
      </c>
      <c r="C27" s="122">
        <v>4.0999999999999996</v>
      </c>
      <c r="D27" s="122">
        <v>4.2345276869999999</v>
      </c>
      <c r="E27" s="111"/>
      <c r="F27" s="111">
        <v>4.2345276869999999</v>
      </c>
      <c r="G27" s="111"/>
      <c r="H27" s="111">
        <v>0.439</v>
      </c>
      <c r="I27" s="111">
        <v>0.439</v>
      </c>
      <c r="J27" s="122">
        <v>11.721854305000001</v>
      </c>
      <c r="K27" s="122">
        <v>8.2064857710000005</v>
      </c>
      <c r="L27" s="111">
        <v>25.091878449999999</v>
      </c>
      <c r="M27" s="111">
        <v>5.3871208250000002</v>
      </c>
      <c r="N27" s="111">
        <v>3.6667266700000001</v>
      </c>
      <c r="O27" s="122">
        <v>5.6451455900000003</v>
      </c>
      <c r="P27" s="122">
        <v>16.399999999999999</v>
      </c>
      <c r="Q27" s="111">
        <v>22.346674449999998</v>
      </c>
      <c r="R27" s="111">
        <v>1276.53146008</v>
      </c>
      <c r="S27" s="111">
        <v>12.145443573</v>
      </c>
    </row>
    <row r="28" spans="1:19">
      <c r="A28" t="s">
        <v>142</v>
      </c>
      <c r="B28" s="122">
        <v>12.7</v>
      </c>
      <c r="C28" s="122">
        <v>2.6</v>
      </c>
      <c r="D28" s="122">
        <v>4.3956043960000004</v>
      </c>
      <c r="E28" s="111"/>
      <c r="F28" s="111">
        <v>4.3956043960000004</v>
      </c>
      <c r="G28" s="111"/>
      <c r="H28" s="111">
        <v>0.39240000000000003</v>
      </c>
      <c r="I28" s="111">
        <v>0.39240000000000003</v>
      </c>
      <c r="J28" s="122">
        <v>6.4150943399999996</v>
      </c>
      <c r="K28" s="122">
        <v>4.9056603770000002</v>
      </c>
      <c r="L28" s="111">
        <v>25.361534290000002</v>
      </c>
      <c r="M28" s="111">
        <v>5.6932922990000003</v>
      </c>
      <c r="N28" s="111">
        <v>4.0191812699999998</v>
      </c>
      <c r="O28" s="122">
        <v>5.7594324700000001</v>
      </c>
      <c r="P28" s="122"/>
      <c r="Q28" s="111">
        <v>10.893730547000001</v>
      </c>
      <c r="R28" s="111">
        <v>1100.9174311930001</v>
      </c>
      <c r="S28" s="111">
        <v>11.428571429</v>
      </c>
    </row>
    <row r="29" spans="1:19">
      <c r="A29" t="s">
        <v>143</v>
      </c>
      <c r="B29" s="122">
        <v>25.9</v>
      </c>
      <c r="C29" s="122">
        <v>5.3</v>
      </c>
      <c r="D29" s="122">
        <v>5.6140350879999996</v>
      </c>
      <c r="E29" s="111"/>
      <c r="F29" s="111">
        <v>5.6140350879999996</v>
      </c>
      <c r="G29" s="111"/>
      <c r="H29" s="111">
        <v>0.4793</v>
      </c>
      <c r="I29" s="111">
        <v>0.4793</v>
      </c>
      <c r="J29" s="122">
        <v>8.5294117650000008</v>
      </c>
      <c r="K29" s="122">
        <v>7.0588235289999997</v>
      </c>
      <c r="L29" s="111">
        <v>25.361534290000002</v>
      </c>
      <c r="M29" s="111">
        <v>5.6932922990000003</v>
      </c>
      <c r="N29" s="111">
        <v>4.0191812699999998</v>
      </c>
      <c r="O29" s="122">
        <v>5.7594324700000001</v>
      </c>
      <c r="P29" s="122">
        <v>16.8</v>
      </c>
      <c r="Q29" s="111">
        <v>8.313934154</v>
      </c>
      <c r="R29" s="111">
        <v>0</v>
      </c>
      <c r="S29" s="111">
        <v>37.639007698999997</v>
      </c>
    </row>
    <row r="30" spans="1:19">
      <c r="A30" t="s">
        <v>144</v>
      </c>
      <c r="B30" s="122">
        <v>24.4</v>
      </c>
      <c r="C30" s="122">
        <v>3.8</v>
      </c>
      <c r="D30" s="122">
        <v>5.2287581699999999</v>
      </c>
      <c r="E30" s="111"/>
      <c r="F30" s="111">
        <v>5.2287581699999999</v>
      </c>
      <c r="G30" s="111"/>
      <c r="H30" s="111">
        <v>0.44030000000000002</v>
      </c>
      <c r="I30" s="111">
        <v>0.44030000000000002</v>
      </c>
      <c r="J30" s="122">
        <v>15.697674419</v>
      </c>
      <c r="K30" s="122">
        <v>12.138728324000001</v>
      </c>
      <c r="L30" s="111">
        <v>25.361534290000002</v>
      </c>
      <c r="M30" s="111">
        <v>5.6932922990000003</v>
      </c>
      <c r="N30" s="111">
        <v>4.0191812699999998</v>
      </c>
      <c r="O30" s="122">
        <v>5.7594324700000001</v>
      </c>
      <c r="P30" s="122"/>
      <c r="Q30" s="111">
        <v>35.649327028000002</v>
      </c>
      <c r="R30" s="111">
        <v>151.05740181300001</v>
      </c>
      <c r="S30" s="111">
        <v>40.816326531000001</v>
      </c>
    </row>
    <row r="31" spans="1:19">
      <c r="A31" t="s">
        <v>145</v>
      </c>
      <c r="B31" s="122">
        <v>11.1</v>
      </c>
      <c r="C31" s="122">
        <v>3.1</v>
      </c>
      <c r="D31" s="122">
        <v>0</v>
      </c>
      <c r="E31" s="111"/>
      <c r="F31" s="111">
        <v>0</v>
      </c>
      <c r="G31" s="111"/>
      <c r="H31" s="111">
        <v>0.42770000000000002</v>
      </c>
      <c r="I31" s="111">
        <v>0.42770000000000002</v>
      </c>
      <c r="J31" s="122">
        <v>10.9375</v>
      </c>
      <c r="K31" s="122">
        <v>8.9494163419999992</v>
      </c>
      <c r="L31" s="111">
        <v>25.361534290000002</v>
      </c>
      <c r="M31" s="111">
        <v>5.6932922990000003</v>
      </c>
      <c r="N31" s="111">
        <v>4.0191812699999998</v>
      </c>
      <c r="O31" s="122">
        <v>5.7594324700000001</v>
      </c>
      <c r="P31" s="122">
        <v>0</v>
      </c>
      <c r="Q31" s="111">
        <v>2.401280683</v>
      </c>
      <c r="R31" s="111">
        <v>0</v>
      </c>
      <c r="S31" s="111">
        <v>3.0643513790000001</v>
      </c>
    </row>
    <row r="32" spans="1:19">
      <c r="A32" t="s">
        <v>146</v>
      </c>
      <c r="B32" s="122">
        <v>20.399999999999999</v>
      </c>
      <c r="C32" s="122">
        <v>6.6</v>
      </c>
      <c r="D32" s="122">
        <v>6.8807339450000002</v>
      </c>
      <c r="E32" s="111"/>
      <c r="F32" s="111">
        <v>6.8807339450000002</v>
      </c>
      <c r="G32" s="111"/>
      <c r="H32" s="111">
        <v>0.43540000000000001</v>
      </c>
      <c r="I32" s="111">
        <v>0.43540000000000001</v>
      </c>
      <c r="J32" s="122">
        <v>7.124352332</v>
      </c>
      <c r="K32" s="122">
        <v>5.3177691310000004</v>
      </c>
      <c r="L32" s="111">
        <v>22.01628126</v>
      </c>
      <c r="M32" s="111">
        <v>4.8096602690000001</v>
      </c>
      <c r="N32" s="111">
        <v>3.4463158100000002</v>
      </c>
      <c r="O32" s="122">
        <v>5.1146483500000004</v>
      </c>
      <c r="P32" s="122">
        <v>23.6</v>
      </c>
      <c r="Q32" s="111">
        <v>14.528979847</v>
      </c>
      <c r="R32" s="111">
        <v>261.60889470199999</v>
      </c>
      <c r="S32" s="111">
        <v>12.899064817999999</v>
      </c>
    </row>
    <row r="33" spans="1:19">
      <c r="A33" t="s">
        <v>147</v>
      </c>
      <c r="B33" s="122">
        <v>23.6</v>
      </c>
      <c r="C33" s="122">
        <v>5.6</v>
      </c>
      <c r="D33" s="122">
        <v>4.1979010490000004</v>
      </c>
      <c r="E33" s="111"/>
      <c r="F33" s="111">
        <v>4.1979010490000004</v>
      </c>
      <c r="G33" s="111"/>
      <c r="H33" s="111">
        <v>0.44990000000000002</v>
      </c>
      <c r="I33" s="111">
        <v>0.44990000000000002</v>
      </c>
      <c r="J33" s="122">
        <v>9.0556274259999991</v>
      </c>
      <c r="K33" s="122">
        <v>5.6774193549999996</v>
      </c>
      <c r="L33" s="111">
        <v>22.01628126</v>
      </c>
      <c r="M33" s="111">
        <v>4.8096602690000001</v>
      </c>
      <c r="N33" s="111">
        <v>3.4463158100000002</v>
      </c>
      <c r="O33" s="122">
        <v>5.1146483500000004</v>
      </c>
      <c r="P33" s="122">
        <v>10.4</v>
      </c>
      <c r="Q33" s="111">
        <v>20.498126514999999</v>
      </c>
      <c r="R33" s="111">
        <v>310.88082901600001</v>
      </c>
      <c r="S33" s="111">
        <v>34.352456201000003</v>
      </c>
    </row>
    <row r="34" spans="1:19">
      <c r="A34" t="s">
        <v>148</v>
      </c>
      <c r="B34" s="122">
        <v>17.399999999999999</v>
      </c>
      <c r="C34" s="122">
        <v>3.8</v>
      </c>
      <c r="D34" s="122">
        <v>4.3198529409999997</v>
      </c>
      <c r="E34" s="111"/>
      <c r="F34" s="111">
        <v>4.3198529409999997</v>
      </c>
      <c r="G34" s="111"/>
      <c r="H34" s="111">
        <v>0.43940000000000001</v>
      </c>
      <c r="I34" s="111">
        <v>0.43940000000000001</v>
      </c>
      <c r="J34" s="122">
        <v>11.072834646</v>
      </c>
      <c r="K34" s="122">
        <v>9.0953785640000007</v>
      </c>
      <c r="L34" s="111">
        <v>25.361534290000002</v>
      </c>
      <c r="M34" s="111">
        <v>5.6932922990000003</v>
      </c>
      <c r="N34" s="111">
        <v>4.0191812699999998</v>
      </c>
      <c r="O34" s="122">
        <v>5.7594324700000001</v>
      </c>
      <c r="P34" s="122">
        <v>15.8</v>
      </c>
      <c r="Q34" s="111">
        <v>30.508072174999999</v>
      </c>
      <c r="R34" s="111">
        <v>716.57264826999995</v>
      </c>
      <c r="S34" s="111">
        <v>18.340348766999998</v>
      </c>
    </row>
    <row r="35" spans="1:19">
      <c r="A35" t="s">
        <v>149</v>
      </c>
      <c r="B35" s="122">
        <v>23</v>
      </c>
      <c r="C35" s="122">
        <v>5.6</v>
      </c>
      <c r="D35" s="122">
        <v>4.846938776</v>
      </c>
      <c r="E35" s="111"/>
      <c r="F35" s="111">
        <v>4.846938776</v>
      </c>
      <c r="G35" s="111"/>
      <c r="H35" s="111">
        <v>0.44030000000000002</v>
      </c>
      <c r="I35" s="111">
        <v>0.44030000000000002</v>
      </c>
      <c r="J35" s="122">
        <v>14.763231198</v>
      </c>
      <c r="K35" s="122">
        <v>9.7493036209999993</v>
      </c>
      <c r="L35" s="111">
        <v>25.361534290000002</v>
      </c>
      <c r="M35" s="111">
        <v>5.6932922990000003</v>
      </c>
      <c r="N35" s="111">
        <v>4.0191812699999998</v>
      </c>
      <c r="O35" s="122">
        <v>5.7594324700000001</v>
      </c>
      <c r="P35" s="122"/>
      <c r="Q35" s="111">
        <v>14.810045074</v>
      </c>
      <c r="R35" s="111">
        <v>66.934404283999996</v>
      </c>
      <c r="S35" s="111">
        <v>22.252191503999999</v>
      </c>
    </row>
    <row r="36" spans="1:19">
      <c r="A36" t="s">
        <v>150</v>
      </c>
      <c r="B36" s="122">
        <v>18</v>
      </c>
      <c r="C36" s="122">
        <v>4.0999999999999996</v>
      </c>
      <c r="D36" s="122">
        <v>7.6298701299999996</v>
      </c>
      <c r="E36" s="111"/>
      <c r="F36" s="111">
        <v>7.6298701299999996</v>
      </c>
      <c r="G36" s="111"/>
      <c r="H36" s="111">
        <v>0.4597</v>
      </c>
      <c r="I36" s="111">
        <v>0.4597</v>
      </c>
      <c r="J36" s="122">
        <v>10.37593985</v>
      </c>
      <c r="K36" s="122">
        <v>8.4210526320000003</v>
      </c>
      <c r="L36" s="111">
        <v>22.01628126</v>
      </c>
      <c r="M36" s="111">
        <v>4.8096602690000001</v>
      </c>
      <c r="N36" s="111">
        <v>3.4463158100000002</v>
      </c>
      <c r="O36" s="122">
        <v>5.1146483500000004</v>
      </c>
      <c r="P36" s="122">
        <v>27.2</v>
      </c>
      <c r="Q36" s="111">
        <v>18.308311973999999</v>
      </c>
      <c r="R36" s="111">
        <v>373.273609556</v>
      </c>
      <c r="S36" s="111">
        <v>21.406727829000001</v>
      </c>
    </row>
    <row r="37" spans="1:19">
      <c r="A37" s="121" t="s">
        <v>151</v>
      </c>
      <c r="B37" s="122">
        <v>16.600000000000001</v>
      </c>
      <c r="C37" s="122">
        <v>5.5</v>
      </c>
      <c r="D37" s="122">
        <v>9.3935790729999997</v>
      </c>
      <c r="E37" s="111"/>
      <c r="F37" s="111">
        <v>9.3935790729999997</v>
      </c>
      <c r="G37" s="111"/>
      <c r="H37" s="111">
        <v>0.4415</v>
      </c>
      <c r="I37" s="111">
        <v>0.4415</v>
      </c>
      <c r="J37" s="122">
        <v>9.3363695510000007</v>
      </c>
      <c r="K37" s="122">
        <v>8.0650406500000003</v>
      </c>
      <c r="L37" s="111">
        <v>22.236668210000001</v>
      </c>
      <c r="M37" s="111">
        <v>5.8160931810000003</v>
      </c>
      <c r="N37" s="111">
        <v>3.5138264100000001</v>
      </c>
      <c r="O37" s="122">
        <v>4.96312525</v>
      </c>
      <c r="P37" s="122">
        <v>14.3</v>
      </c>
      <c r="Q37" s="111">
        <v>33.940176266000002</v>
      </c>
      <c r="R37" s="111">
        <v>7865.6650463989999</v>
      </c>
      <c r="S37" s="111">
        <v>24.559249188999999</v>
      </c>
    </row>
    <row r="38" spans="1:19">
      <c r="A38" t="s">
        <v>152</v>
      </c>
      <c r="B38" s="122">
        <v>9.8000000000000007</v>
      </c>
      <c r="C38" s="122">
        <v>2.8</v>
      </c>
      <c r="D38" s="122">
        <v>8.6683417089999999</v>
      </c>
      <c r="E38" s="111"/>
      <c r="F38" s="111">
        <v>8.6683417089999999</v>
      </c>
      <c r="G38" s="111"/>
      <c r="H38" s="111">
        <v>0.45660000000000001</v>
      </c>
      <c r="I38" s="111">
        <v>0.45660000000000001</v>
      </c>
      <c r="J38" s="122">
        <v>9.5477386929999994</v>
      </c>
      <c r="K38" s="122">
        <v>6.6331658290000002</v>
      </c>
      <c r="L38" s="111">
        <v>25.361534290000002</v>
      </c>
      <c r="M38" s="111">
        <v>5.6932922990000003</v>
      </c>
      <c r="N38" s="111">
        <v>4.0191812699999998</v>
      </c>
      <c r="O38" s="122">
        <v>5.7594324700000001</v>
      </c>
      <c r="P38" s="122">
        <v>11.5</v>
      </c>
      <c r="Q38" s="111">
        <v>10.567439477000001</v>
      </c>
      <c r="R38" s="111">
        <v>93.545369504000007</v>
      </c>
      <c r="S38" s="111">
        <v>17.12907117</v>
      </c>
    </row>
    <row r="39" spans="1:19">
      <c r="A39" t="s">
        <v>153</v>
      </c>
      <c r="B39" s="122">
        <v>25.3</v>
      </c>
      <c r="C39" s="122">
        <v>5.4</v>
      </c>
      <c r="D39" s="122">
        <v>0</v>
      </c>
      <c r="E39" s="111"/>
      <c r="F39" s="111">
        <v>0</v>
      </c>
      <c r="G39" s="111"/>
      <c r="H39" s="111">
        <v>0.48959999999999998</v>
      </c>
      <c r="I39" s="111">
        <v>0.48959999999999998</v>
      </c>
      <c r="J39" s="122">
        <v>10.616438356</v>
      </c>
      <c r="K39" s="122">
        <v>7.7054794519999996</v>
      </c>
      <c r="L39" s="111">
        <v>25.361534290000002</v>
      </c>
      <c r="M39" s="111">
        <v>5.6932922990000003</v>
      </c>
      <c r="N39" s="111">
        <v>4.0191812699999998</v>
      </c>
      <c r="O39" s="122">
        <v>5.7594324700000001</v>
      </c>
      <c r="P39" s="122">
        <v>15.6</v>
      </c>
      <c r="Q39" s="111">
        <v>15.481587969</v>
      </c>
      <c r="R39" s="111">
        <v>1554.4041450780001</v>
      </c>
      <c r="S39" s="111">
        <v>16.143911439</v>
      </c>
    </row>
    <row r="40" spans="1:19">
      <c r="A40" t="s">
        <v>154</v>
      </c>
      <c r="B40" s="122">
        <v>17.399999999999999</v>
      </c>
      <c r="C40" s="122">
        <v>7.5</v>
      </c>
      <c r="D40" s="122">
        <v>2.0249221180000001</v>
      </c>
      <c r="E40" s="111"/>
      <c r="F40" s="111">
        <v>2.0249221180000001</v>
      </c>
      <c r="G40" s="111"/>
      <c r="H40" s="111">
        <v>0.49669999999999997</v>
      </c>
      <c r="I40" s="111">
        <v>0.49669999999999997</v>
      </c>
      <c r="J40" s="122">
        <v>10.743801653</v>
      </c>
      <c r="K40" s="122">
        <v>7.2727272730000001</v>
      </c>
      <c r="L40" s="111">
        <v>22.01628126</v>
      </c>
      <c r="M40" s="111">
        <v>4.8096602690000001</v>
      </c>
      <c r="N40" s="111">
        <v>3.4463158100000002</v>
      </c>
      <c r="O40" s="122">
        <v>5.1146483500000004</v>
      </c>
      <c r="P40" s="122">
        <v>22.9</v>
      </c>
      <c r="Q40" s="111">
        <v>12.518195050999999</v>
      </c>
      <c r="R40" s="111">
        <v>306.479859895</v>
      </c>
      <c r="S40" s="111">
        <v>7.9398244880000002</v>
      </c>
    </row>
    <row r="41" spans="1:19">
      <c r="A41" t="s">
        <v>155</v>
      </c>
      <c r="B41" s="122">
        <v>22.4</v>
      </c>
      <c r="C41" s="122">
        <v>5.8</v>
      </c>
      <c r="D41" s="122">
        <v>6.9134869659999998</v>
      </c>
      <c r="E41" s="111"/>
      <c r="F41" s="111">
        <v>6.9134869659999998</v>
      </c>
      <c r="G41" s="111"/>
      <c r="H41" s="111">
        <v>0.4597</v>
      </c>
      <c r="I41" s="111">
        <v>0.4597</v>
      </c>
      <c r="J41" s="122">
        <v>10.414688192</v>
      </c>
      <c r="K41" s="122">
        <v>7.9329962070000004</v>
      </c>
      <c r="L41" s="111">
        <v>22.01628126</v>
      </c>
      <c r="M41" s="111">
        <v>4.8096602690000001</v>
      </c>
      <c r="N41" s="111">
        <v>3.4463158100000002</v>
      </c>
      <c r="O41" s="122">
        <v>5.1146483500000004</v>
      </c>
      <c r="P41" s="122">
        <v>22</v>
      </c>
      <c r="Q41" s="111">
        <v>26.429747698</v>
      </c>
      <c r="R41" s="111">
        <v>232.69342641099999</v>
      </c>
      <c r="S41" s="111">
        <v>16.926540482</v>
      </c>
    </row>
    <row r="42" spans="1:19">
      <c r="A42" t="s">
        <v>156</v>
      </c>
      <c r="B42" s="122">
        <v>16.2</v>
      </c>
      <c r="C42" s="122">
        <v>4.4000000000000004</v>
      </c>
      <c r="D42" s="122">
        <v>4.3122270739999999</v>
      </c>
      <c r="E42" s="111"/>
      <c r="F42" s="111">
        <v>4.3122270739999999</v>
      </c>
      <c r="G42" s="111"/>
      <c r="H42" s="111">
        <v>0.44690000000000002</v>
      </c>
      <c r="I42" s="111">
        <v>0.44690000000000002</v>
      </c>
      <c r="J42" s="122">
        <v>11.033449825</v>
      </c>
      <c r="K42" s="122">
        <v>8.4415584419999998</v>
      </c>
      <c r="L42" s="111">
        <v>20.913281439999999</v>
      </c>
      <c r="M42" s="111">
        <v>4.5438463870000003</v>
      </c>
      <c r="N42" s="111">
        <v>3.27529469</v>
      </c>
      <c r="O42" s="122">
        <v>4.8792671099999998</v>
      </c>
      <c r="P42" s="122">
        <v>16.600000000000001</v>
      </c>
      <c r="Q42" s="111">
        <v>16.422002628000001</v>
      </c>
      <c r="R42" s="111">
        <v>139.35663686000001</v>
      </c>
      <c r="S42" s="111">
        <v>17.126099707000002</v>
      </c>
    </row>
    <row r="43" spans="1:19">
      <c r="A43" t="s">
        <v>157</v>
      </c>
      <c r="B43" s="122">
        <v>12.4</v>
      </c>
      <c r="C43" s="122">
        <v>3.7</v>
      </c>
      <c r="D43" s="122">
        <v>2.8913963329999999</v>
      </c>
      <c r="E43" s="111"/>
      <c r="F43" s="111">
        <v>2.8913963329999999</v>
      </c>
      <c r="G43" s="111"/>
      <c r="H43" s="111">
        <v>0.4471</v>
      </c>
      <c r="I43" s="111">
        <v>0.4471</v>
      </c>
      <c r="J43" s="122">
        <v>10.162916989999999</v>
      </c>
      <c r="K43" s="122">
        <v>7.3700543060000001</v>
      </c>
      <c r="L43" s="111">
        <v>25.361534290000002</v>
      </c>
      <c r="M43" s="111">
        <v>5.6932922990000003</v>
      </c>
      <c r="N43" s="111">
        <v>4.0191812699999998</v>
      </c>
      <c r="O43" s="122">
        <v>5.7594324700000001</v>
      </c>
      <c r="P43" s="122">
        <v>7.4</v>
      </c>
      <c r="Q43" s="111">
        <v>19.939045329999999</v>
      </c>
      <c r="R43" s="111">
        <v>684.67801628400002</v>
      </c>
      <c r="S43" s="111">
        <v>17.752032141000001</v>
      </c>
    </row>
    <row r="44" spans="1:19">
      <c r="A44" t="s">
        <v>158</v>
      </c>
      <c r="B44" s="122">
        <v>13.4</v>
      </c>
      <c r="C44" s="122">
        <v>3</v>
      </c>
      <c r="D44" s="122">
        <v>0.33613445400000003</v>
      </c>
      <c r="E44" s="111"/>
      <c r="F44" s="111">
        <v>0.33613445400000003</v>
      </c>
      <c r="G44" s="111"/>
      <c r="H44" s="111">
        <v>0.38319999999999999</v>
      </c>
      <c r="I44" s="111">
        <v>0.38319999999999999</v>
      </c>
      <c r="J44" s="122">
        <v>11.148648649</v>
      </c>
      <c r="K44" s="122">
        <v>9.9830795259999991</v>
      </c>
      <c r="L44" s="111">
        <v>22.01628126</v>
      </c>
      <c r="M44" s="111">
        <v>4.8096602690000001</v>
      </c>
      <c r="N44" s="111">
        <v>3.4463158100000002</v>
      </c>
      <c r="O44" s="122">
        <v>5.1146483500000004</v>
      </c>
      <c r="P44" s="122">
        <v>22.1</v>
      </c>
      <c r="Q44" s="111">
        <v>11.300575118999999</v>
      </c>
      <c r="R44" s="111">
        <v>200.32051282099999</v>
      </c>
      <c r="S44" s="111">
        <v>14.979757084999999</v>
      </c>
    </row>
    <row r="45" spans="1:19">
      <c r="A45" t="s">
        <v>159</v>
      </c>
      <c r="B45" s="122">
        <v>11.9</v>
      </c>
      <c r="C45" s="122">
        <v>3.2</v>
      </c>
      <c r="D45" s="122">
        <v>11.813186813</v>
      </c>
      <c r="E45" s="111"/>
      <c r="F45" s="111">
        <v>11.813186813</v>
      </c>
      <c r="G45" s="111"/>
      <c r="H45" s="111">
        <v>0.44869999999999999</v>
      </c>
      <c r="I45" s="111">
        <v>0.44869999999999999</v>
      </c>
      <c r="J45" s="122">
        <v>10.586011342000001</v>
      </c>
      <c r="K45" s="122">
        <v>8.8846880909999992</v>
      </c>
      <c r="L45" s="111">
        <v>25.361534290000002</v>
      </c>
      <c r="M45" s="111">
        <v>5.6932922990000003</v>
      </c>
      <c r="N45" s="111">
        <v>4.0191812699999998</v>
      </c>
      <c r="O45" s="122">
        <v>5.7594324700000001</v>
      </c>
      <c r="P45" s="122"/>
      <c r="Q45" s="111">
        <v>10.404624277</v>
      </c>
      <c r="R45" s="111">
        <v>198.31432821000001</v>
      </c>
      <c r="S45" s="111">
        <v>11.657374557000001</v>
      </c>
    </row>
    <row r="46" spans="1:19">
      <c r="A46" t="s">
        <v>160</v>
      </c>
      <c r="B46" s="122">
        <v>15.8</v>
      </c>
      <c r="C46" s="122">
        <v>4.7</v>
      </c>
      <c r="D46" s="122">
        <v>5.1460361609999996</v>
      </c>
      <c r="E46" s="111"/>
      <c r="F46" s="111">
        <v>5.1460361609999996</v>
      </c>
      <c r="G46" s="111"/>
      <c r="H46" s="111">
        <v>0.42109999999999997</v>
      </c>
      <c r="I46" s="111">
        <v>0.42109999999999997</v>
      </c>
      <c r="J46" s="122">
        <v>10.66098081</v>
      </c>
      <c r="K46" s="122">
        <v>7.2494669509999996</v>
      </c>
      <c r="L46" s="111">
        <v>22.01628126</v>
      </c>
      <c r="M46" s="111">
        <v>4.8096602690000001</v>
      </c>
      <c r="N46" s="111">
        <v>3.4463158100000002</v>
      </c>
      <c r="O46" s="122">
        <v>5.1146483500000004</v>
      </c>
      <c r="P46" s="122">
        <v>14.7</v>
      </c>
      <c r="Q46" s="111">
        <v>22.426221428000002</v>
      </c>
      <c r="R46" s="111">
        <v>369.78341257300002</v>
      </c>
      <c r="S46" s="111">
        <v>13.903462748999999</v>
      </c>
    </row>
    <row r="47" spans="1:19">
      <c r="A47" t="s">
        <v>161</v>
      </c>
      <c r="B47" s="122">
        <v>17.2</v>
      </c>
      <c r="C47" s="122">
        <v>4.8</v>
      </c>
      <c r="D47" s="122">
        <v>8.5078534030000004</v>
      </c>
      <c r="E47" s="111"/>
      <c r="F47" s="111">
        <v>8.5078534030000004</v>
      </c>
      <c r="G47" s="111"/>
      <c r="H47" s="111">
        <v>0.4294</v>
      </c>
      <c r="I47" s="111">
        <v>0.4294</v>
      </c>
      <c r="J47" s="122">
        <v>12.187115306000001</v>
      </c>
      <c r="K47" s="122">
        <v>8.1933633760000006</v>
      </c>
      <c r="L47" s="111">
        <v>22.236668210000001</v>
      </c>
      <c r="M47" s="111">
        <v>5.8160931810000003</v>
      </c>
      <c r="N47" s="111">
        <v>3.5138264100000001</v>
      </c>
      <c r="O47" s="122">
        <v>4.96312525</v>
      </c>
      <c r="P47" s="122">
        <v>25.9</v>
      </c>
      <c r="Q47" s="111">
        <v>16.944143434000001</v>
      </c>
      <c r="R47" s="111">
        <v>1243.6289500509999</v>
      </c>
      <c r="S47" s="111">
        <v>24.872640096000001</v>
      </c>
    </row>
    <row r="48" spans="1:19">
      <c r="A48" t="s">
        <v>162</v>
      </c>
      <c r="B48" s="122">
        <v>10.4</v>
      </c>
      <c r="C48" s="122">
        <v>3.6</v>
      </c>
      <c r="D48" s="122">
        <v>2.5419420439999998</v>
      </c>
      <c r="E48" s="111"/>
      <c r="F48" s="111">
        <v>2.5419420439999998</v>
      </c>
      <c r="G48" s="111"/>
      <c r="H48" s="111">
        <v>0.41549999999999998</v>
      </c>
      <c r="I48" s="111">
        <v>0.41549999999999998</v>
      </c>
      <c r="J48" s="122">
        <v>11.433926897999999</v>
      </c>
      <c r="K48" s="122">
        <v>7.5445173380000004</v>
      </c>
      <c r="L48" s="111">
        <v>25.091878449999999</v>
      </c>
      <c r="M48" s="111">
        <v>5.3871208250000002</v>
      </c>
      <c r="N48" s="111">
        <v>3.6667266700000001</v>
      </c>
      <c r="O48" s="122">
        <v>5.6451455900000003</v>
      </c>
      <c r="P48" s="122">
        <v>15.5</v>
      </c>
      <c r="Q48" s="111">
        <v>23.510199849999999</v>
      </c>
      <c r="R48" s="111">
        <v>529.20822308200002</v>
      </c>
      <c r="S48" s="111">
        <v>6.5495373739999998</v>
      </c>
    </row>
    <row r="49" spans="1:19">
      <c r="A49" t="s">
        <v>163</v>
      </c>
      <c r="B49" s="122">
        <v>26</v>
      </c>
      <c r="C49" s="122">
        <v>6.3</v>
      </c>
      <c r="D49" s="122">
        <v>10.882016037</v>
      </c>
      <c r="E49" s="111"/>
      <c r="F49" s="111">
        <v>10.882016037</v>
      </c>
      <c r="G49" s="111"/>
      <c r="H49" s="111">
        <v>0.45579999999999998</v>
      </c>
      <c r="I49" s="111">
        <v>0.45579999999999998</v>
      </c>
      <c r="J49" s="122">
        <v>8.8888888890000004</v>
      </c>
      <c r="K49" s="122">
        <v>7.6824583869999996</v>
      </c>
      <c r="L49" s="111">
        <v>22.01628126</v>
      </c>
      <c r="M49" s="111">
        <v>4.8096602690000001</v>
      </c>
      <c r="N49" s="111">
        <v>3.4463158100000002</v>
      </c>
      <c r="O49" s="122">
        <v>5.1146483500000004</v>
      </c>
      <c r="P49" s="122">
        <v>21.8</v>
      </c>
      <c r="Q49" s="111">
        <v>33.995799982000001</v>
      </c>
      <c r="R49" s="111">
        <v>463.29294369199999</v>
      </c>
      <c r="S49" s="111">
        <v>20.253464407999999</v>
      </c>
    </row>
    <row r="50" spans="1:19">
      <c r="A50" t="s">
        <v>164</v>
      </c>
      <c r="B50" s="122">
        <v>19.899999999999999</v>
      </c>
      <c r="C50" s="122">
        <v>7.8</v>
      </c>
      <c r="D50" s="122">
        <v>11.990111248</v>
      </c>
      <c r="E50" s="111"/>
      <c r="F50" s="111">
        <v>11.990111248</v>
      </c>
      <c r="G50" s="111"/>
      <c r="H50" s="111">
        <v>0.4466</v>
      </c>
      <c r="I50" s="111">
        <v>0.4466</v>
      </c>
      <c r="J50" s="122">
        <v>10.914179104</v>
      </c>
      <c r="K50" s="122">
        <v>8.8536812670000007</v>
      </c>
      <c r="L50" s="111">
        <v>20.913281439999999</v>
      </c>
      <c r="M50" s="111">
        <v>4.5438463870000003</v>
      </c>
      <c r="N50" s="111">
        <v>3.27529469</v>
      </c>
      <c r="O50" s="122">
        <v>4.8792671099999998</v>
      </c>
      <c r="P50" s="122">
        <v>26.2</v>
      </c>
      <c r="Q50" s="111">
        <v>25.258381649</v>
      </c>
      <c r="R50" s="111">
        <v>101.368474404</v>
      </c>
      <c r="S50" s="111">
        <v>18.239299611</v>
      </c>
    </row>
    <row r="51" spans="1:19">
      <c r="A51" t="s">
        <v>165</v>
      </c>
      <c r="B51" s="122">
        <v>15.5</v>
      </c>
      <c r="C51" s="122">
        <v>3.7</v>
      </c>
      <c r="D51" s="122">
        <v>11.19133574</v>
      </c>
      <c r="E51" s="111"/>
      <c r="F51" s="111">
        <v>11.19133574</v>
      </c>
      <c r="G51" s="111"/>
      <c r="H51" s="111">
        <v>0.41339999999999999</v>
      </c>
      <c r="I51" s="111">
        <v>0.41339999999999999</v>
      </c>
      <c r="J51" s="122">
        <v>10.700636942999999</v>
      </c>
      <c r="K51" s="122">
        <v>7.770700637</v>
      </c>
      <c r="L51" s="111">
        <v>22.01628126</v>
      </c>
      <c r="M51" s="111">
        <v>4.8096602690000001</v>
      </c>
      <c r="N51" s="111">
        <v>3.4463158100000002</v>
      </c>
      <c r="O51" s="122">
        <v>5.1146483500000004</v>
      </c>
      <c r="P51" s="122">
        <v>28.8</v>
      </c>
      <c r="Q51" s="111">
        <v>19.135669748000002</v>
      </c>
      <c r="R51" s="111">
        <v>523.07692307699995</v>
      </c>
      <c r="S51" s="111">
        <v>13.702896294</v>
      </c>
    </row>
    <row r="52" spans="1:19">
      <c r="A52" t="s">
        <v>166</v>
      </c>
      <c r="B52" s="122">
        <v>24.8</v>
      </c>
      <c r="C52" s="122">
        <v>5.2</v>
      </c>
      <c r="D52" s="122">
        <v>6.6374108610000002</v>
      </c>
      <c r="E52" s="111"/>
      <c r="F52" s="111">
        <v>6.6374108610000002</v>
      </c>
      <c r="G52" s="111">
        <v>0.47760000000000002</v>
      </c>
      <c r="H52" s="111">
        <v>0.46829999999999999</v>
      </c>
      <c r="I52" s="111">
        <v>0.47760000000000002</v>
      </c>
      <c r="J52" s="122">
        <v>11.061651458</v>
      </c>
      <c r="K52" s="122">
        <v>7.7676385489999999</v>
      </c>
      <c r="L52" s="111">
        <v>20.913281439999999</v>
      </c>
      <c r="M52" s="111">
        <v>4.5438463870000003</v>
      </c>
      <c r="N52" s="111">
        <v>3.27529469</v>
      </c>
      <c r="O52" s="122">
        <v>4.8792671099999998</v>
      </c>
      <c r="P52" s="122">
        <v>29.5</v>
      </c>
      <c r="Q52" s="111">
        <v>34.049452776999999</v>
      </c>
      <c r="R52" s="111">
        <v>694.03599576500005</v>
      </c>
      <c r="S52" s="111">
        <v>24.299283258999999</v>
      </c>
    </row>
    <row r="53" spans="1:19">
      <c r="A53" t="s">
        <v>167</v>
      </c>
      <c r="B53" s="122">
        <v>12.8</v>
      </c>
      <c r="C53" s="122">
        <v>3.3</v>
      </c>
      <c r="D53" s="122">
        <v>3.5149384889999999</v>
      </c>
      <c r="E53" s="111"/>
      <c r="F53" s="111">
        <v>3.5149384889999999</v>
      </c>
      <c r="G53" s="111"/>
      <c r="H53" s="111">
        <v>0.45929999999999999</v>
      </c>
      <c r="I53" s="111">
        <v>0.45929999999999999</v>
      </c>
      <c r="J53" s="122">
        <v>7.5500770419999998</v>
      </c>
      <c r="K53" s="122">
        <v>5.384615385</v>
      </c>
      <c r="L53" s="111">
        <v>22.236668210000001</v>
      </c>
      <c r="M53" s="111">
        <v>5.8160931810000003</v>
      </c>
      <c r="N53" s="111">
        <v>3.5138264100000001</v>
      </c>
      <c r="O53" s="122">
        <v>4.96312525</v>
      </c>
      <c r="P53" s="122">
        <v>10.5</v>
      </c>
      <c r="Q53" s="111">
        <v>19.053419174999998</v>
      </c>
      <c r="R53" s="111">
        <v>924.89826119099996</v>
      </c>
      <c r="S53" s="111">
        <v>42.223024178999999</v>
      </c>
    </row>
    <row r="54" spans="1:19">
      <c r="A54" t="s">
        <v>168</v>
      </c>
      <c r="B54" s="122">
        <v>17</v>
      </c>
      <c r="C54" s="122">
        <v>5.5</v>
      </c>
      <c r="D54" s="122">
        <v>7.7757685350000001</v>
      </c>
      <c r="E54" s="111"/>
      <c r="F54" s="111">
        <v>7.7757685350000001</v>
      </c>
      <c r="G54" s="111"/>
      <c r="H54" s="111">
        <v>0.42899999999999999</v>
      </c>
      <c r="I54" s="111">
        <v>0.42899999999999999</v>
      </c>
      <c r="J54" s="122">
        <v>10.217755444</v>
      </c>
      <c r="K54" s="122">
        <v>7.1906354520000004</v>
      </c>
      <c r="L54" s="111">
        <v>22.236668210000001</v>
      </c>
      <c r="M54" s="111">
        <v>5.8160931810000003</v>
      </c>
      <c r="N54" s="111">
        <v>3.5138264100000001</v>
      </c>
      <c r="O54" s="122">
        <v>4.96312525</v>
      </c>
      <c r="P54" s="122">
        <v>17.3</v>
      </c>
      <c r="Q54" s="111">
        <v>16.013726050999999</v>
      </c>
      <c r="R54" s="111">
        <v>469.48356807499999</v>
      </c>
      <c r="S54" s="111">
        <v>11.494252874000001</v>
      </c>
    </row>
    <row r="55" spans="1:19">
      <c r="A55" t="s">
        <v>169</v>
      </c>
      <c r="B55" s="122">
        <v>24.2</v>
      </c>
      <c r="C55" s="122">
        <v>6.1</v>
      </c>
      <c r="D55" s="122">
        <v>12.816455696</v>
      </c>
      <c r="E55" s="111"/>
      <c r="F55" s="111">
        <v>12.816455696</v>
      </c>
      <c r="G55" s="111"/>
      <c r="H55" s="111">
        <v>0.4466</v>
      </c>
      <c r="I55" s="111">
        <v>0.4466</v>
      </c>
      <c r="J55" s="122">
        <v>7.8804347830000001</v>
      </c>
      <c r="K55" s="122">
        <v>7.4829931969999999</v>
      </c>
      <c r="L55" s="111">
        <v>20.913281439999999</v>
      </c>
      <c r="M55" s="111">
        <v>4.5438463870000003</v>
      </c>
      <c r="N55" s="111">
        <v>3.27529469</v>
      </c>
      <c r="O55" s="122">
        <v>4.8792671099999998</v>
      </c>
      <c r="P55" s="122">
        <v>18.2</v>
      </c>
      <c r="Q55" s="111">
        <v>24.768824305999999</v>
      </c>
      <c r="R55" s="111">
        <v>105.411103303</v>
      </c>
      <c r="S55" s="111">
        <v>16.614745587000002</v>
      </c>
    </row>
    <row r="56" spans="1:19">
      <c r="A56" s="121" t="s">
        <v>170</v>
      </c>
      <c r="B56" s="122">
        <v>15.9</v>
      </c>
      <c r="C56" s="122">
        <v>4</v>
      </c>
      <c r="D56" s="122">
        <v>4.3243379060000002</v>
      </c>
      <c r="E56" s="111">
        <v>4.3243379060000002</v>
      </c>
      <c r="F56" s="111">
        <v>6.295582413</v>
      </c>
      <c r="G56" s="111">
        <v>0.49309999999999998</v>
      </c>
      <c r="H56" s="111">
        <v>0.48670000000000002</v>
      </c>
      <c r="I56" s="111">
        <v>0.49309999999999998</v>
      </c>
      <c r="J56" s="122">
        <v>10.596297935999999</v>
      </c>
      <c r="K56" s="122">
        <v>8.6118441539999999</v>
      </c>
      <c r="L56" s="111">
        <v>23.366027219999999</v>
      </c>
      <c r="M56" s="111">
        <v>7.0199865590000003</v>
      </c>
      <c r="N56" s="111">
        <v>3.67637904</v>
      </c>
      <c r="O56" s="122">
        <v>5.1815447199999998</v>
      </c>
      <c r="P56" s="122">
        <v>16</v>
      </c>
      <c r="Q56" s="111">
        <v>41.060412949000003</v>
      </c>
      <c r="R56" s="111">
        <v>2446.8269492660002</v>
      </c>
      <c r="S56" s="111">
        <v>12.969387755</v>
      </c>
    </row>
    <row r="57" spans="1:19">
      <c r="A57" t="s">
        <v>171</v>
      </c>
      <c r="B57" s="122">
        <v>18.100000000000001</v>
      </c>
      <c r="C57" s="122">
        <v>6.3</v>
      </c>
      <c r="D57" s="122">
        <v>5.7829181490000003</v>
      </c>
      <c r="E57" s="111"/>
      <c r="F57" s="111">
        <v>5.7829181490000003</v>
      </c>
      <c r="G57" s="111"/>
      <c r="H57" s="111">
        <v>0.45269999999999999</v>
      </c>
      <c r="I57" s="111">
        <v>0.45269999999999999</v>
      </c>
      <c r="J57" s="122">
        <v>10.671611042</v>
      </c>
      <c r="K57" s="122">
        <v>7.5876288660000002</v>
      </c>
      <c r="L57" s="111">
        <v>20.913281439999999</v>
      </c>
      <c r="M57" s="111">
        <v>4.5438463870000003</v>
      </c>
      <c r="N57" s="111">
        <v>3.27529469</v>
      </c>
      <c r="O57" s="122">
        <v>4.8792671099999998</v>
      </c>
      <c r="P57" s="122">
        <v>18.5</v>
      </c>
      <c r="Q57" s="111">
        <v>30.816799794000001</v>
      </c>
      <c r="R57" s="111">
        <v>1444.6568939880001</v>
      </c>
      <c r="S57" s="111">
        <v>20.241216570999999</v>
      </c>
    </row>
    <row r="58" spans="1:19">
      <c r="A58" t="s">
        <v>172</v>
      </c>
      <c r="B58" s="122">
        <v>16.8</v>
      </c>
      <c r="C58" s="122">
        <v>5.0999999999999996</v>
      </c>
      <c r="D58" s="122">
        <v>5.3962900510000003</v>
      </c>
      <c r="E58" s="111"/>
      <c r="F58" s="111">
        <v>5.3962900510000003</v>
      </c>
      <c r="G58" s="111"/>
      <c r="H58" s="111">
        <v>0.439</v>
      </c>
      <c r="I58" s="111">
        <v>0.439</v>
      </c>
      <c r="J58" s="122">
        <v>10.983981693</v>
      </c>
      <c r="K58" s="122">
        <v>7.2868927589999997</v>
      </c>
      <c r="L58" s="111">
        <v>22.236668210000001</v>
      </c>
      <c r="M58" s="111">
        <v>5.8160931810000003</v>
      </c>
      <c r="N58" s="111">
        <v>3.5138264100000001</v>
      </c>
      <c r="O58" s="122">
        <v>4.96312525</v>
      </c>
      <c r="P58" s="122">
        <v>18.2</v>
      </c>
      <c r="Q58" s="111">
        <v>26.287677258999999</v>
      </c>
      <c r="R58" s="111">
        <v>111.950741674</v>
      </c>
      <c r="S58" s="111">
        <v>17.335766422999999</v>
      </c>
    </row>
    <row r="59" spans="1:19">
      <c r="A59" t="s">
        <v>173</v>
      </c>
      <c r="B59" s="122">
        <v>19.899999999999999</v>
      </c>
      <c r="C59" s="122">
        <v>4.4000000000000004</v>
      </c>
      <c r="D59" s="122">
        <v>6.9975186100000002</v>
      </c>
      <c r="E59" s="111"/>
      <c r="F59" s="111">
        <v>6.9975186100000002</v>
      </c>
      <c r="G59" s="111"/>
      <c r="H59" s="111">
        <v>0.43880000000000002</v>
      </c>
      <c r="I59" s="111">
        <v>0.43880000000000002</v>
      </c>
      <c r="J59" s="122">
        <v>10.934664247000001</v>
      </c>
      <c r="K59" s="122">
        <v>7.7551020409999998</v>
      </c>
      <c r="L59" s="111">
        <v>22.236668210000001</v>
      </c>
      <c r="M59" s="111">
        <v>5.8160931810000003</v>
      </c>
      <c r="N59" s="111">
        <v>3.5138264100000001</v>
      </c>
      <c r="O59" s="122">
        <v>4.96312525</v>
      </c>
      <c r="P59" s="122">
        <v>15.2</v>
      </c>
      <c r="Q59" s="111">
        <v>19.494015623999999</v>
      </c>
      <c r="R59" s="111">
        <v>163.996467768</v>
      </c>
      <c r="S59" s="111">
        <v>17.490877060999999</v>
      </c>
    </row>
    <row r="60" spans="1:19">
      <c r="A60" t="s">
        <v>174</v>
      </c>
      <c r="B60" s="122">
        <v>18.5</v>
      </c>
      <c r="C60" s="122">
        <v>5.4</v>
      </c>
      <c r="D60" s="122">
        <v>4.8780487800000003</v>
      </c>
      <c r="E60" s="111"/>
      <c r="F60" s="111">
        <v>4.8780487800000003</v>
      </c>
      <c r="G60" s="111"/>
      <c r="H60" s="111">
        <v>0.4259</v>
      </c>
      <c r="I60" s="111">
        <v>0.4259</v>
      </c>
      <c r="J60" s="122">
        <v>13.24570273</v>
      </c>
      <c r="K60" s="122">
        <v>8.8799192730000005</v>
      </c>
      <c r="L60" s="111">
        <v>22.236668210000001</v>
      </c>
      <c r="M60" s="111">
        <v>5.8160931810000003</v>
      </c>
      <c r="N60" s="111">
        <v>3.5138264100000001</v>
      </c>
      <c r="O60" s="122">
        <v>4.96312525</v>
      </c>
      <c r="P60" s="122">
        <v>20.7</v>
      </c>
      <c r="Q60" s="111">
        <v>13.477088949000001</v>
      </c>
      <c r="R60" s="111">
        <v>152.20700152200001</v>
      </c>
      <c r="S60" s="111">
        <v>21.464646465000001</v>
      </c>
    </row>
    <row r="61" spans="1:19">
      <c r="A61" t="s">
        <v>175</v>
      </c>
      <c r="B61" s="122">
        <v>23.8</v>
      </c>
      <c r="C61" s="122">
        <v>3.6</v>
      </c>
      <c r="D61" s="122">
        <v>1.838654504</v>
      </c>
      <c r="E61" s="111"/>
      <c r="F61" s="111">
        <v>1.838654504</v>
      </c>
      <c r="G61" s="111">
        <v>0.48949999999999999</v>
      </c>
      <c r="H61" s="111">
        <v>0.52710000000000001</v>
      </c>
      <c r="I61" s="111">
        <v>0.48949999999999999</v>
      </c>
      <c r="J61" s="122">
        <v>8.4681042229999992</v>
      </c>
      <c r="K61" s="122">
        <v>6.6711590300000001</v>
      </c>
      <c r="L61" s="111">
        <v>22.236668210000001</v>
      </c>
      <c r="M61" s="111">
        <v>5.8160931810000003</v>
      </c>
      <c r="N61" s="111">
        <v>3.5138264100000001</v>
      </c>
      <c r="O61" s="122">
        <v>4.96312525</v>
      </c>
      <c r="P61" s="122">
        <v>6.1</v>
      </c>
      <c r="Q61" s="111">
        <v>34.149587765</v>
      </c>
      <c r="R61" s="111">
        <v>1358.0719204280001</v>
      </c>
      <c r="S61" s="111">
        <v>22.351421189</v>
      </c>
    </row>
    <row r="62" spans="1:19">
      <c r="A62" t="s">
        <v>176</v>
      </c>
      <c r="B62" s="122">
        <v>17.7</v>
      </c>
      <c r="C62" s="122">
        <v>5.4</v>
      </c>
      <c r="D62" s="122">
        <v>4.5383411579999997</v>
      </c>
      <c r="E62" s="111"/>
      <c r="F62" s="111">
        <v>4.5383411579999997</v>
      </c>
      <c r="G62" s="111"/>
      <c r="H62" s="111">
        <v>0.4516</v>
      </c>
      <c r="I62" s="111">
        <v>0.4516</v>
      </c>
      <c r="J62" s="122">
        <v>11.022120519</v>
      </c>
      <c r="K62" s="122">
        <v>7.4342356079999998</v>
      </c>
      <c r="L62" s="111">
        <v>22.01628126</v>
      </c>
      <c r="M62" s="111">
        <v>4.8096602690000001</v>
      </c>
      <c r="N62" s="111">
        <v>3.4463158100000002</v>
      </c>
      <c r="O62" s="122">
        <v>5.1146483500000004</v>
      </c>
      <c r="P62" s="122">
        <v>24.8</v>
      </c>
      <c r="Q62" s="111">
        <v>33.105384720000004</v>
      </c>
      <c r="R62" s="111">
        <v>647.90443409600005</v>
      </c>
      <c r="S62" s="111">
        <v>18.282270216000001</v>
      </c>
    </row>
    <row r="63" spans="1:19">
      <c r="A63" t="s">
        <v>177</v>
      </c>
      <c r="B63" s="122">
        <v>17.899999999999999</v>
      </c>
      <c r="C63" s="122">
        <v>3.8</v>
      </c>
      <c r="D63" s="122">
        <v>3.677510608</v>
      </c>
      <c r="E63" s="111"/>
      <c r="F63" s="111">
        <v>3.677510608</v>
      </c>
      <c r="G63" s="111"/>
      <c r="H63" s="111">
        <v>0.44340000000000002</v>
      </c>
      <c r="I63" s="111">
        <v>0.44340000000000002</v>
      </c>
      <c r="J63" s="122">
        <v>10.191082803</v>
      </c>
      <c r="K63" s="122">
        <v>8.5425252900000004</v>
      </c>
      <c r="L63" s="111">
        <v>22.01628126</v>
      </c>
      <c r="M63" s="111">
        <v>4.8096602690000001</v>
      </c>
      <c r="N63" s="111">
        <v>3.4463158100000002</v>
      </c>
      <c r="O63" s="122">
        <v>5.1146483500000004</v>
      </c>
      <c r="P63" s="122">
        <v>16.2</v>
      </c>
      <c r="Q63" s="111">
        <v>24.552107652</v>
      </c>
      <c r="R63" s="111">
        <v>1299.836155106</v>
      </c>
      <c r="S63" s="111">
        <v>20.318506315</v>
      </c>
    </row>
    <row r="64" spans="1:19">
      <c r="A64" t="s">
        <v>178</v>
      </c>
      <c r="B64" s="122">
        <v>15.2</v>
      </c>
      <c r="C64" s="122">
        <v>4.2</v>
      </c>
      <c r="D64" s="122">
        <v>7.0650858940000001</v>
      </c>
      <c r="E64" s="111"/>
      <c r="F64" s="111">
        <v>7.0650858940000001</v>
      </c>
      <c r="G64" s="111">
        <v>0.442</v>
      </c>
      <c r="H64" s="111">
        <v>0.43940000000000001</v>
      </c>
      <c r="I64" s="111">
        <v>0.442</v>
      </c>
      <c r="J64" s="122">
        <v>9.7004917299999995</v>
      </c>
      <c r="K64" s="122">
        <v>7.1796018789999998</v>
      </c>
      <c r="L64" s="111">
        <v>22.01628126</v>
      </c>
      <c r="M64" s="111">
        <v>4.8096602690000001</v>
      </c>
      <c r="N64" s="111">
        <v>3.4463158100000002</v>
      </c>
      <c r="O64" s="122">
        <v>5.1146483500000004</v>
      </c>
      <c r="P64" s="122">
        <v>17.8</v>
      </c>
      <c r="Q64" s="111">
        <v>34.723766118</v>
      </c>
      <c r="R64" s="111">
        <v>1537.84357606</v>
      </c>
      <c r="S64" s="111">
        <v>15.135878913000001</v>
      </c>
    </row>
    <row r="65" spans="1:19">
      <c r="A65" t="s">
        <v>179</v>
      </c>
      <c r="B65" s="122">
        <v>20</v>
      </c>
      <c r="C65" s="122">
        <v>6.2</v>
      </c>
      <c r="D65" s="122">
        <v>4.7717842319999999</v>
      </c>
      <c r="E65" s="111"/>
      <c r="F65" s="111">
        <v>4.7717842319999999</v>
      </c>
      <c r="G65" s="111"/>
      <c r="H65" s="111">
        <v>0.50080000000000002</v>
      </c>
      <c r="I65" s="111">
        <v>0.50080000000000002</v>
      </c>
      <c r="J65" s="122">
        <v>12.831858407</v>
      </c>
      <c r="K65" s="122">
        <v>9.1445427729999995</v>
      </c>
      <c r="L65" s="111">
        <v>22.01628126</v>
      </c>
      <c r="M65" s="111">
        <v>4.8096602690000001</v>
      </c>
      <c r="N65" s="111">
        <v>3.4463158100000002</v>
      </c>
      <c r="O65" s="122">
        <v>5.1146483500000004</v>
      </c>
      <c r="P65" s="122">
        <v>25.2</v>
      </c>
      <c r="Q65" s="111">
        <v>10.857763301</v>
      </c>
      <c r="R65" s="111">
        <v>417.36227045099997</v>
      </c>
      <c r="S65" s="111">
        <v>31.351791531</v>
      </c>
    </row>
    <row r="66" spans="1:19">
      <c r="A66" t="s">
        <v>180</v>
      </c>
      <c r="B66" s="122">
        <v>16.600000000000001</v>
      </c>
      <c r="C66" s="122">
        <v>3.3</v>
      </c>
      <c r="D66" s="122">
        <v>10.909090909</v>
      </c>
      <c r="E66" s="111"/>
      <c r="F66" s="111">
        <v>10.909090909</v>
      </c>
      <c r="G66" s="111"/>
      <c r="H66" s="111">
        <v>0.49490000000000001</v>
      </c>
      <c r="I66" s="111">
        <v>0.49490000000000001</v>
      </c>
      <c r="J66" s="122">
        <v>9.9601593630000007</v>
      </c>
      <c r="K66" s="122">
        <v>7.1713147409999998</v>
      </c>
      <c r="L66" s="111">
        <v>25.361534290000002</v>
      </c>
      <c r="M66" s="111">
        <v>5.6932922990000003</v>
      </c>
      <c r="N66" s="111">
        <v>4.0191812699999998</v>
      </c>
      <c r="O66" s="122">
        <v>5.7594324700000001</v>
      </c>
      <c r="P66" s="122">
        <v>0</v>
      </c>
      <c r="Q66" s="111">
        <v>16.052631579</v>
      </c>
      <c r="R66" s="111">
        <v>105.042016807</v>
      </c>
      <c r="S66" s="111">
        <v>18.633540372999999</v>
      </c>
    </row>
    <row r="67" spans="1:19">
      <c r="A67" t="s">
        <v>181</v>
      </c>
      <c r="B67" s="122">
        <v>10.1</v>
      </c>
      <c r="C67" s="122">
        <v>4.4000000000000004</v>
      </c>
      <c r="D67" s="122">
        <v>3.6</v>
      </c>
      <c r="E67" s="111"/>
      <c r="F67" s="111">
        <v>3.6</v>
      </c>
      <c r="G67" s="111">
        <v>0.40710000000000002</v>
      </c>
      <c r="H67" s="111">
        <v>0.42470000000000002</v>
      </c>
      <c r="I67" s="111">
        <v>0.40710000000000002</v>
      </c>
      <c r="J67" s="122">
        <v>10.181531176</v>
      </c>
      <c r="K67" s="122">
        <v>6.831194472</v>
      </c>
      <c r="L67" s="111">
        <v>22.236668210000001</v>
      </c>
      <c r="M67" s="111">
        <v>5.8160931810000003</v>
      </c>
      <c r="N67" s="111">
        <v>3.5138264100000001</v>
      </c>
      <c r="O67" s="122">
        <v>4.96312525</v>
      </c>
      <c r="P67" s="122">
        <v>11.9</v>
      </c>
      <c r="Q67" s="111">
        <v>20.115888589000001</v>
      </c>
      <c r="R67" s="111">
        <v>895.53595781399997</v>
      </c>
      <c r="S67" s="111">
        <v>12.704584500999999</v>
      </c>
    </row>
    <row r="68" spans="1:19">
      <c r="A68" t="s">
        <v>182</v>
      </c>
      <c r="B68" s="122">
        <v>22.1</v>
      </c>
      <c r="C68" s="122">
        <v>5.9</v>
      </c>
      <c r="D68" s="122">
        <v>7.1284465370000003</v>
      </c>
      <c r="E68" s="111"/>
      <c r="F68" s="111">
        <v>7.1284465370000003</v>
      </c>
      <c r="G68" s="111"/>
      <c r="H68" s="111">
        <v>0.45529999999999998</v>
      </c>
      <c r="I68" s="111">
        <v>0.45529999999999998</v>
      </c>
      <c r="J68" s="122">
        <v>10.084541063</v>
      </c>
      <c r="K68" s="122">
        <v>6.9444444440000002</v>
      </c>
      <c r="L68" s="111">
        <v>22.01628126</v>
      </c>
      <c r="M68" s="111">
        <v>4.8096602690000001</v>
      </c>
      <c r="N68" s="111">
        <v>3.4463158100000002</v>
      </c>
      <c r="O68" s="122">
        <v>5.1146483500000004</v>
      </c>
      <c r="P68" s="122">
        <v>19.100000000000001</v>
      </c>
      <c r="Q68" s="111">
        <v>26.061320755000001</v>
      </c>
      <c r="R68" s="111">
        <v>485.74114697599998</v>
      </c>
      <c r="S68" s="111">
        <v>19.689922481</v>
      </c>
    </row>
    <row r="69" spans="1:19">
      <c r="A69" t="s">
        <v>183</v>
      </c>
      <c r="B69" s="122">
        <v>20.5</v>
      </c>
      <c r="C69" s="122">
        <v>5.5</v>
      </c>
      <c r="D69" s="122">
        <v>5.2965142600000004</v>
      </c>
      <c r="E69" s="111"/>
      <c r="F69" s="111">
        <v>5.2965142600000004</v>
      </c>
      <c r="G69" s="111"/>
      <c r="H69" s="111">
        <v>0.43930000000000002</v>
      </c>
      <c r="I69" s="111">
        <v>0.43930000000000002</v>
      </c>
      <c r="J69" s="122">
        <v>10.923379175000001</v>
      </c>
      <c r="K69" s="122">
        <v>7.5412411629999996</v>
      </c>
      <c r="L69" s="111">
        <v>20.913281439999999</v>
      </c>
      <c r="M69" s="111">
        <v>4.5438463870000003</v>
      </c>
      <c r="N69" s="111">
        <v>3.27529469</v>
      </c>
      <c r="O69" s="122">
        <v>4.8792671099999998</v>
      </c>
      <c r="P69" s="122">
        <v>22.7</v>
      </c>
      <c r="Q69" s="111">
        <v>29.830941616</v>
      </c>
      <c r="R69" s="111">
        <v>1934.1563786009999</v>
      </c>
      <c r="S69" s="111">
        <v>16.115953781000002</v>
      </c>
    </row>
    <row r="70" spans="1:19">
      <c r="A70" t="s">
        <v>184</v>
      </c>
      <c r="B70" s="122">
        <v>15</v>
      </c>
      <c r="C70" s="122">
        <v>6.3</v>
      </c>
      <c r="D70" s="122">
        <v>3.8926174499999999</v>
      </c>
      <c r="E70" s="111"/>
      <c r="F70" s="111">
        <v>3.8926174499999999</v>
      </c>
      <c r="G70" s="111"/>
      <c r="H70" s="111">
        <v>0.46210000000000001</v>
      </c>
      <c r="I70" s="111">
        <v>0.46210000000000001</v>
      </c>
      <c r="J70" s="122">
        <v>11.006761833000001</v>
      </c>
      <c r="K70" s="122">
        <v>9.1284748310000001</v>
      </c>
      <c r="L70" s="111">
        <v>25.361534290000002</v>
      </c>
      <c r="M70" s="111">
        <v>5.6932922990000003</v>
      </c>
      <c r="N70" s="111">
        <v>4.0191812699999998</v>
      </c>
      <c r="O70" s="122">
        <v>5.7594324700000001</v>
      </c>
      <c r="P70" s="122">
        <v>13.2</v>
      </c>
      <c r="Q70" s="111">
        <v>31.996384589000002</v>
      </c>
      <c r="R70" s="111">
        <v>778.39707860800002</v>
      </c>
      <c r="S70" s="111">
        <v>13.437323811000001</v>
      </c>
    </row>
    <row r="71" spans="1:19">
      <c r="A71" t="s">
        <v>185</v>
      </c>
      <c r="B71" s="122">
        <v>16.8</v>
      </c>
      <c r="C71" s="122">
        <v>3.1</v>
      </c>
      <c r="D71" s="122">
        <v>8.49122807</v>
      </c>
      <c r="E71" s="111"/>
      <c r="F71" s="111">
        <v>8.49122807</v>
      </c>
      <c r="G71" s="111"/>
      <c r="H71" s="111">
        <v>0.40810000000000002</v>
      </c>
      <c r="I71" s="111">
        <v>0.40810000000000002</v>
      </c>
      <c r="J71" s="122">
        <v>9.1960063059999992</v>
      </c>
      <c r="K71" s="122">
        <v>6.6701680669999996</v>
      </c>
      <c r="L71" s="111">
        <v>25.361534290000002</v>
      </c>
      <c r="M71" s="111">
        <v>5.6932922990000003</v>
      </c>
      <c r="N71" s="111">
        <v>4.0191812699999998</v>
      </c>
      <c r="O71" s="122">
        <v>5.7594324700000001</v>
      </c>
      <c r="P71" s="122">
        <v>10.4</v>
      </c>
      <c r="Q71" s="111">
        <v>14.820665304</v>
      </c>
      <c r="R71" s="111">
        <v>1394.5578231290001</v>
      </c>
      <c r="S71" s="111">
        <v>7.0778564209999999</v>
      </c>
    </row>
    <row r="72" spans="1:19">
      <c r="A72" t="s">
        <v>186</v>
      </c>
      <c r="B72" s="122">
        <v>23</v>
      </c>
      <c r="C72" s="122">
        <v>4.3</v>
      </c>
      <c r="D72" s="122">
        <v>8.2666666670000009</v>
      </c>
      <c r="E72" s="111"/>
      <c r="F72" s="111">
        <v>8.2666666670000009</v>
      </c>
      <c r="G72" s="111"/>
      <c r="H72" s="111">
        <v>0.45860000000000001</v>
      </c>
      <c r="I72" s="111">
        <v>0.45860000000000001</v>
      </c>
      <c r="J72" s="122">
        <v>10.888888889</v>
      </c>
      <c r="K72" s="122">
        <v>9.0909090910000003</v>
      </c>
      <c r="L72" s="111">
        <v>25.361534290000002</v>
      </c>
      <c r="M72" s="111">
        <v>5.6932922990000003</v>
      </c>
      <c r="N72" s="111">
        <v>4.0191812699999998</v>
      </c>
      <c r="O72" s="122">
        <v>5.7594324700000001</v>
      </c>
      <c r="P72" s="122"/>
      <c r="Q72" s="111">
        <v>30.188168403999999</v>
      </c>
      <c r="R72" s="111">
        <v>1307.901907357</v>
      </c>
      <c r="S72" s="111">
        <v>13.926084628</v>
      </c>
    </row>
    <row r="73" spans="1:19">
      <c r="A73" t="s">
        <v>187</v>
      </c>
      <c r="B73" s="122">
        <v>14.4</v>
      </c>
      <c r="C73" s="122">
        <v>4.3</v>
      </c>
      <c r="D73" s="122">
        <v>6.5529429840000004</v>
      </c>
      <c r="E73" s="111">
        <v>6.5529429840000004</v>
      </c>
      <c r="F73" s="111">
        <v>6.811270403</v>
      </c>
      <c r="G73" s="111">
        <v>0.4778</v>
      </c>
      <c r="H73" s="111">
        <v>0.48230000000000001</v>
      </c>
      <c r="I73" s="111">
        <v>0.4778</v>
      </c>
      <c r="J73" s="122">
        <v>11.087732721</v>
      </c>
      <c r="K73" s="122">
        <v>8.1412165040000009</v>
      </c>
      <c r="L73" s="111">
        <v>25.24396072</v>
      </c>
      <c r="M73" s="111">
        <v>7.1076937610000002</v>
      </c>
      <c r="N73" s="111">
        <v>4.3026753700000002</v>
      </c>
      <c r="O73" s="122">
        <v>5.5454055000000002</v>
      </c>
      <c r="P73" s="122">
        <v>18.899999999999999</v>
      </c>
      <c r="Q73" s="111">
        <v>53.267191242000003</v>
      </c>
      <c r="R73" s="111">
        <v>1311.309356732</v>
      </c>
      <c r="S73" s="111">
        <v>16.152113586999999</v>
      </c>
    </row>
    <row r="74" spans="1:19">
      <c r="A74" t="s">
        <v>188</v>
      </c>
      <c r="B74" s="122">
        <v>10</v>
      </c>
      <c r="C74" s="122">
        <v>4.4000000000000004</v>
      </c>
      <c r="D74" s="122">
        <v>6.1960385980000003</v>
      </c>
      <c r="E74" s="111"/>
      <c r="F74" s="111">
        <v>6.1960385980000003</v>
      </c>
      <c r="G74" s="111">
        <v>0.40649999999999997</v>
      </c>
      <c r="H74" s="111">
        <v>0.4042</v>
      </c>
      <c r="I74" s="111">
        <v>0.40649999999999997</v>
      </c>
      <c r="J74" s="122">
        <v>10.242214533</v>
      </c>
      <c r="K74" s="122">
        <v>7.5715604799999996</v>
      </c>
      <c r="L74" s="111">
        <v>20.913281439999999</v>
      </c>
      <c r="M74" s="111">
        <v>4.5438463870000003</v>
      </c>
      <c r="N74" s="111">
        <v>3.27529469</v>
      </c>
      <c r="O74" s="122">
        <v>4.8792671099999998</v>
      </c>
      <c r="P74" s="122">
        <v>16.399999999999999</v>
      </c>
      <c r="Q74" s="111">
        <v>23.587607393999999</v>
      </c>
      <c r="R74" s="111">
        <v>418.64792226600002</v>
      </c>
      <c r="S74" s="111">
        <v>7.1961068539999999</v>
      </c>
    </row>
    <row r="75" spans="1:19">
      <c r="A75" t="s">
        <v>189</v>
      </c>
      <c r="B75" s="122">
        <v>14.3</v>
      </c>
      <c r="C75" s="122">
        <v>4.5999999999999996</v>
      </c>
      <c r="D75" s="122">
        <v>4.6420141619999997</v>
      </c>
      <c r="E75" s="111"/>
      <c r="F75" s="111">
        <v>4.6420141619999997</v>
      </c>
      <c r="G75" s="111"/>
      <c r="H75" s="111">
        <v>0.47339999999999999</v>
      </c>
      <c r="I75" s="111">
        <v>0.47339999999999999</v>
      </c>
      <c r="J75" s="122">
        <v>9.7416744479999995</v>
      </c>
      <c r="K75" s="122">
        <v>7.6276463259999998</v>
      </c>
      <c r="L75" s="111">
        <v>22.236668210000001</v>
      </c>
      <c r="M75" s="111">
        <v>5.8160931810000003</v>
      </c>
      <c r="N75" s="111">
        <v>3.5138264100000001</v>
      </c>
      <c r="O75" s="122">
        <v>4.96312525</v>
      </c>
      <c r="P75" s="122">
        <v>14.2</v>
      </c>
      <c r="Q75" s="111">
        <v>33.655398525000003</v>
      </c>
      <c r="R75" s="111">
        <v>57.259713701000003</v>
      </c>
      <c r="S75" s="111">
        <v>18.593504669000001</v>
      </c>
    </row>
    <row r="76" spans="1:19">
      <c r="A76" t="s">
        <v>190</v>
      </c>
      <c r="B76" s="122">
        <v>16.2</v>
      </c>
      <c r="C76" s="122">
        <v>4.5</v>
      </c>
      <c r="D76" s="122">
        <v>9.8181818179999993</v>
      </c>
      <c r="E76" s="111"/>
      <c r="F76" s="111">
        <v>9.8181818179999993</v>
      </c>
      <c r="G76" s="111"/>
      <c r="H76" s="111">
        <v>0.44640000000000002</v>
      </c>
      <c r="I76" s="111">
        <v>0.44640000000000002</v>
      </c>
      <c r="J76" s="122">
        <v>9.5360824740000005</v>
      </c>
      <c r="K76" s="122">
        <v>6.6924066919999996</v>
      </c>
      <c r="L76" s="111">
        <v>25.361534290000002</v>
      </c>
      <c r="M76" s="111">
        <v>5.6932922990000003</v>
      </c>
      <c r="N76" s="111">
        <v>4.0191812699999998</v>
      </c>
      <c r="O76" s="122">
        <v>5.7594324700000001</v>
      </c>
      <c r="P76" s="122">
        <v>19.2</v>
      </c>
      <c r="Q76" s="111">
        <v>17.134492853000001</v>
      </c>
      <c r="R76" s="111">
        <v>715.74642126799995</v>
      </c>
      <c r="S76" s="111">
        <v>4.657351963</v>
      </c>
    </row>
    <row r="77" spans="1:19">
      <c r="A77" t="s">
        <v>191</v>
      </c>
      <c r="B77" s="122">
        <v>14.6</v>
      </c>
      <c r="C77" s="122">
        <v>2.7</v>
      </c>
      <c r="D77" s="122">
        <v>5.3173241850000004</v>
      </c>
      <c r="E77" s="111"/>
      <c r="F77" s="111">
        <v>5.3173241850000004</v>
      </c>
      <c r="G77" s="111"/>
      <c r="H77" s="111">
        <v>0.45069999999999999</v>
      </c>
      <c r="I77" s="111">
        <v>0.45069999999999999</v>
      </c>
      <c r="J77" s="122">
        <v>7.7067669170000004</v>
      </c>
      <c r="K77" s="122">
        <v>6.9288389510000004</v>
      </c>
      <c r="L77" s="111">
        <v>25.361534290000002</v>
      </c>
      <c r="M77" s="111">
        <v>5.6932922990000003</v>
      </c>
      <c r="N77" s="111">
        <v>4.0191812699999998</v>
      </c>
      <c r="O77" s="122">
        <v>5.7594324700000001</v>
      </c>
      <c r="P77" s="122">
        <v>15.3</v>
      </c>
      <c r="Q77" s="111">
        <v>12.202954398999999</v>
      </c>
      <c r="R77" s="111">
        <v>0</v>
      </c>
      <c r="S77" s="111">
        <v>20.159151194</v>
      </c>
    </row>
    <row r="78" spans="1:19">
      <c r="A78" t="s">
        <v>192</v>
      </c>
      <c r="B78" s="122">
        <v>13.9</v>
      </c>
      <c r="C78" s="122">
        <v>4.2</v>
      </c>
      <c r="D78" s="122">
        <v>4.1106719370000002</v>
      </c>
      <c r="E78" s="111"/>
      <c r="F78" s="111">
        <v>4.1106719370000002</v>
      </c>
      <c r="G78" s="111"/>
      <c r="H78" s="111">
        <v>0.4365</v>
      </c>
      <c r="I78" s="111">
        <v>0.4365</v>
      </c>
      <c r="J78" s="122">
        <v>11.930294906</v>
      </c>
      <c r="K78" s="122">
        <v>8.3109919570000006</v>
      </c>
      <c r="L78" s="111">
        <v>25.361534290000002</v>
      </c>
      <c r="M78" s="111">
        <v>5.6932922990000003</v>
      </c>
      <c r="N78" s="111">
        <v>4.0191812699999998</v>
      </c>
      <c r="O78" s="122">
        <v>5.7594324700000001</v>
      </c>
      <c r="P78" s="122">
        <v>10.5</v>
      </c>
      <c r="Q78" s="111">
        <v>22.817004866000001</v>
      </c>
      <c r="R78" s="111">
        <v>2674.8184944589998</v>
      </c>
      <c r="S78" s="111">
        <v>14.465526958</v>
      </c>
    </row>
    <row r="79" spans="1:19">
      <c r="A79" t="s">
        <v>193</v>
      </c>
      <c r="B79" s="122">
        <v>16.899999999999999</v>
      </c>
      <c r="C79" s="122"/>
      <c r="D79" s="122"/>
      <c r="E79" s="111"/>
      <c r="F79" s="111"/>
      <c r="G79" s="111"/>
      <c r="H79" s="111"/>
      <c r="I79" s="111"/>
      <c r="J79" s="122"/>
      <c r="K79" s="122"/>
      <c r="L79" s="111"/>
      <c r="M79" s="111"/>
      <c r="N79" s="111"/>
      <c r="O79" s="122"/>
      <c r="P79" s="122"/>
      <c r="Q79" s="111"/>
      <c r="R79" s="111"/>
      <c r="S79" s="111"/>
    </row>
    <row r="80" spans="1:19">
      <c r="A80" t="s">
        <v>194</v>
      </c>
      <c r="B80" s="122">
        <v>6.7</v>
      </c>
      <c r="C80" s="122"/>
      <c r="D80" s="122"/>
      <c r="E80" s="111"/>
      <c r="F80" s="111"/>
      <c r="G80" s="111"/>
      <c r="H80" s="111"/>
      <c r="I80" s="111"/>
      <c r="J80" s="122"/>
      <c r="K80" s="122"/>
      <c r="L80" s="111"/>
      <c r="M80" s="111"/>
      <c r="N80" s="111"/>
      <c r="O80" s="122"/>
      <c r="P80" s="122"/>
      <c r="Q80" s="111"/>
      <c r="R80" s="111"/>
      <c r="S80" s="111"/>
    </row>
    <row r="81" spans="1:19">
      <c r="A81" t="s">
        <v>195</v>
      </c>
      <c r="B81" s="122">
        <v>13.1</v>
      </c>
      <c r="C81" s="122"/>
      <c r="D81" s="122"/>
      <c r="E81" s="111"/>
      <c r="F81" s="111"/>
      <c r="G81" s="111"/>
      <c r="H81" s="111"/>
      <c r="I81" s="111"/>
      <c r="J81" s="122"/>
      <c r="K81" s="122"/>
      <c r="L81" s="111"/>
      <c r="M81" s="111"/>
      <c r="N81" s="111"/>
      <c r="O81" s="122"/>
      <c r="P81" s="122"/>
      <c r="Q81" s="111"/>
      <c r="R81" s="111"/>
      <c r="S81" s="111"/>
    </row>
    <row r="82" spans="1:19">
      <c r="A82" t="s">
        <v>196</v>
      </c>
      <c r="B82" s="122">
        <v>18.100000000000001</v>
      </c>
      <c r="C82" s="122"/>
      <c r="D82" s="122"/>
      <c r="E82" s="111"/>
      <c r="F82" s="111"/>
      <c r="G82" s="111"/>
      <c r="H82" s="111"/>
      <c r="I82" s="111"/>
      <c r="J82" s="122"/>
      <c r="K82" s="122"/>
      <c r="L82" s="111"/>
      <c r="M82" s="111"/>
      <c r="N82" s="111"/>
      <c r="O82" s="122"/>
      <c r="P82" s="122"/>
      <c r="Q82" s="111"/>
      <c r="R82" s="111"/>
      <c r="S82" s="111"/>
    </row>
    <row r="83" spans="1:19">
      <c r="A83" t="s">
        <v>197</v>
      </c>
      <c r="B83" s="122">
        <v>43.2</v>
      </c>
      <c r="C83" s="122"/>
      <c r="D83" s="122"/>
      <c r="E83" s="111"/>
      <c r="F83" s="111"/>
      <c r="G83" s="111"/>
      <c r="H83" s="111"/>
      <c r="I83" s="111"/>
      <c r="J83" s="122"/>
      <c r="K83" s="122"/>
      <c r="L83" s="111"/>
      <c r="M83" s="111"/>
      <c r="N83" s="111"/>
      <c r="O83" s="122"/>
      <c r="P83" s="122"/>
      <c r="Q83" s="111"/>
      <c r="R83" s="111"/>
      <c r="S83" s="111"/>
    </row>
    <row r="84" spans="1:19">
      <c r="A84" t="s">
        <v>198</v>
      </c>
      <c r="B84" s="122">
        <v>14.5</v>
      </c>
      <c r="C84" s="122"/>
      <c r="D84" s="122"/>
      <c r="E84" s="111"/>
      <c r="F84" s="111"/>
      <c r="G84" s="111"/>
      <c r="H84" s="111"/>
      <c r="I84" s="111"/>
      <c r="J84" s="122"/>
      <c r="K84" s="122"/>
      <c r="L84" s="111"/>
      <c r="M84" s="111"/>
      <c r="N84" s="111"/>
      <c r="O84" s="122"/>
      <c r="P84" s="122"/>
      <c r="Q84" s="111"/>
      <c r="R84" s="111"/>
      <c r="S84" s="111"/>
    </row>
    <row r="85" spans="1:19">
      <c r="A85" t="s">
        <v>199</v>
      </c>
      <c r="B85" s="122">
        <v>16.7</v>
      </c>
      <c r="C85" s="122"/>
      <c r="D85" s="122"/>
      <c r="E85" s="111"/>
      <c r="F85" s="111"/>
      <c r="G85" s="111"/>
      <c r="H85" s="111"/>
      <c r="I85" s="111"/>
      <c r="J85" s="122"/>
      <c r="K85" s="122"/>
      <c r="L85" s="111"/>
      <c r="M85" s="111"/>
      <c r="N85" s="111"/>
      <c r="O85" s="122"/>
      <c r="P85" s="122"/>
      <c r="Q85" s="111"/>
      <c r="R85" s="111"/>
      <c r="S85" s="111"/>
    </row>
    <row r="86" spans="1:19">
      <c r="A86" t="s">
        <v>200</v>
      </c>
      <c r="B86" s="122">
        <v>26.1</v>
      </c>
      <c r="C86" s="122"/>
      <c r="D86" s="122"/>
      <c r="E86" s="111"/>
      <c r="F86" s="111"/>
      <c r="G86" s="111"/>
      <c r="H86" s="111"/>
      <c r="I86" s="111"/>
      <c r="J86" s="122"/>
      <c r="K86" s="122"/>
      <c r="L86" s="111"/>
      <c r="M86" s="111"/>
      <c r="N86" s="111"/>
      <c r="O86" s="122"/>
      <c r="P86" s="122"/>
      <c r="Q86" s="111"/>
      <c r="R86" s="111"/>
      <c r="S86" s="111"/>
    </row>
    <row r="87" spans="1:19">
      <c r="A87" t="s">
        <v>201</v>
      </c>
      <c r="B87" s="122">
        <v>32.700000000000003</v>
      </c>
      <c r="C87" s="122"/>
      <c r="D87" s="122"/>
      <c r="E87" s="111"/>
      <c r="F87" s="111"/>
      <c r="G87" s="111"/>
      <c r="H87" s="111"/>
      <c r="I87" s="111"/>
      <c r="J87" s="122"/>
      <c r="K87" s="122"/>
      <c r="L87" s="111"/>
      <c r="M87" s="111"/>
      <c r="N87" s="111"/>
      <c r="O87" s="122"/>
      <c r="P87" s="122"/>
      <c r="Q87" s="111"/>
      <c r="R87" s="111"/>
      <c r="S87" s="111"/>
    </row>
    <row r="88" spans="1:19" ht="15.6">
      <c r="A88" t="s">
        <v>202</v>
      </c>
      <c r="B88" s="124">
        <v>13.2</v>
      </c>
      <c r="C88" s="122"/>
      <c r="D88" s="122"/>
      <c r="E88" s="111"/>
      <c r="F88" s="111"/>
      <c r="G88" s="111"/>
      <c r="H88" s="111"/>
      <c r="I88" s="111"/>
      <c r="J88" s="111"/>
      <c r="K88" s="111"/>
      <c r="L88" s="111"/>
      <c r="M88" s="111"/>
      <c r="N88" s="111"/>
      <c r="O88" s="122"/>
      <c r="P88" s="122"/>
      <c r="Q88" s="111"/>
      <c r="R88" s="111"/>
      <c r="S88" s="111"/>
    </row>
    <row r="89" spans="1:19" ht="15.6">
      <c r="A89" t="s">
        <v>203</v>
      </c>
      <c r="B89" s="124">
        <v>11.8</v>
      </c>
      <c r="C89" s="122"/>
      <c r="D89" s="122"/>
      <c r="E89" s="111"/>
      <c r="F89" s="111"/>
      <c r="G89" s="111"/>
      <c r="H89" s="111"/>
      <c r="I89" s="111"/>
      <c r="J89" s="111"/>
      <c r="K89" s="111"/>
      <c r="L89" s="111"/>
      <c r="M89" s="111"/>
      <c r="N89" s="111"/>
      <c r="O89" s="111"/>
      <c r="P89" s="111"/>
      <c r="Q89" s="111"/>
      <c r="R89" s="111"/>
      <c r="S89" s="111"/>
    </row>
    <row r="90" spans="1:19" ht="15.6">
      <c r="A90" t="s">
        <v>204</v>
      </c>
      <c r="B90" s="124">
        <v>13.1</v>
      </c>
      <c r="C90" s="122"/>
      <c r="D90" s="122"/>
      <c r="E90" s="111"/>
      <c r="F90" s="111"/>
      <c r="G90" s="111"/>
      <c r="H90" s="111"/>
      <c r="I90" s="111"/>
      <c r="J90" s="111"/>
      <c r="K90" s="111"/>
      <c r="L90" s="111"/>
      <c r="M90" s="111"/>
      <c r="N90" s="111"/>
      <c r="O90" s="111"/>
      <c r="P90" s="111"/>
      <c r="Q90" s="111"/>
      <c r="R90" s="111"/>
      <c r="S90" s="111"/>
    </row>
    <row r="91" spans="1:19" ht="15.6">
      <c r="A91" t="s">
        <v>205</v>
      </c>
      <c r="B91" s="124">
        <v>3.2</v>
      </c>
      <c r="C91" s="122"/>
      <c r="D91" s="122"/>
      <c r="E91" s="111"/>
      <c r="F91" s="111"/>
      <c r="G91" s="111"/>
      <c r="H91" s="111"/>
      <c r="I91" s="111"/>
      <c r="J91" s="111"/>
      <c r="K91" s="111"/>
      <c r="L91" s="111"/>
      <c r="M91" s="111"/>
      <c r="N91" s="111"/>
      <c r="O91" s="111"/>
      <c r="P91" s="111"/>
      <c r="Q91" s="111"/>
      <c r="R91" s="111"/>
      <c r="S91" s="111"/>
    </row>
    <row r="92" spans="1:19" ht="15.6">
      <c r="A92" t="s">
        <v>206</v>
      </c>
      <c r="B92" s="124">
        <v>6.8</v>
      </c>
      <c r="C92" s="122"/>
      <c r="D92" s="122"/>
      <c r="E92" s="111"/>
      <c r="F92" s="111"/>
      <c r="G92" s="111"/>
      <c r="H92" s="111"/>
      <c r="I92" s="111"/>
      <c r="J92" s="111"/>
      <c r="K92" s="111"/>
      <c r="L92" s="111"/>
      <c r="M92" s="111"/>
      <c r="N92" s="111"/>
      <c r="O92" s="111"/>
      <c r="P92" s="111"/>
      <c r="Q92" s="111"/>
      <c r="R92" s="111"/>
      <c r="S92" s="111"/>
    </row>
    <row r="93" spans="1:19" ht="15.6">
      <c r="A93" t="s">
        <v>207</v>
      </c>
      <c r="B93" s="124">
        <v>6.7</v>
      </c>
      <c r="C93" s="122"/>
      <c r="D93" s="122"/>
      <c r="E93" s="111"/>
      <c r="F93" s="111"/>
      <c r="G93" s="111"/>
      <c r="H93" s="111"/>
      <c r="I93" s="111"/>
      <c r="J93" s="111"/>
      <c r="K93" s="111"/>
      <c r="L93" s="111"/>
      <c r="M93" s="111"/>
      <c r="N93" s="111"/>
      <c r="O93" s="111"/>
      <c r="P93" s="111"/>
      <c r="Q93" s="111"/>
      <c r="R93" s="111"/>
      <c r="S93" s="111"/>
    </row>
    <row r="94" spans="1:19" ht="15.6">
      <c r="A94" t="s">
        <v>208</v>
      </c>
      <c r="B94" s="124">
        <v>1.1000000000000001</v>
      </c>
      <c r="C94" s="122"/>
      <c r="D94" s="122"/>
      <c r="E94" s="111"/>
      <c r="F94" s="111"/>
      <c r="G94" s="111"/>
      <c r="H94" s="111"/>
      <c r="I94" s="111"/>
      <c r="J94" s="111"/>
      <c r="K94" s="111"/>
      <c r="L94" s="111"/>
      <c r="M94" s="111"/>
      <c r="N94" s="111"/>
      <c r="O94" s="111"/>
      <c r="P94" s="111"/>
      <c r="Q94" s="111"/>
      <c r="R94" s="111"/>
      <c r="S94" s="111"/>
    </row>
    <row r="95" spans="1:19" ht="15.6">
      <c r="A95" t="s">
        <v>209</v>
      </c>
      <c r="B95" s="124">
        <v>9.6</v>
      </c>
      <c r="C95" s="122"/>
      <c r="D95" s="122"/>
      <c r="E95" s="111"/>
      <c r="F95" s="111"/>
      <c r="G95" s="111"/>
      <c r="H95" s="111"/>
      <c r="I95" s="111"/>
      <c r="J95" s="111"/>
      <c r="K95" s="111"/>
      <c r="L95" s="111"/>
      <c r="M95" s="111"/>
      <c r="N95" s="111"/>
      <c r="O95" s="111"/>
      <c r="P95" s="111"/>
      <c r="Q95" s="111"/>
      <c r="R95" s="111"/>
      <c r="S95" s="111"/>
    </row>
    <row r="96" spans="1:19" ht="15.6">
      <c r="A96" t="s">
        <v>210</v>
      </c>
      <c r="B96" s="124">
        <v>8.1</v>
      </c>
      <c r="C96" s="122"/>
      <c r="D96" s="122"/>
      <c r="E96" s="111"/>
      <c r="F96" s="111"/>
      <c r="G96" s="111"/>
      <c r="H96" s="111"/>
      <c r="I96" s="111"/>
      <c r="J96" s="111"/>
      <c r="K96" s="111"/>
      <c r="L96" s="111"/>
      <c r="M96" s="111"/>
      <c r="N96" s="111"/>
      <c r="O96" s="111"/>
      <c r="P96" s="111"/>
      <c r="Q96" s="111"/>
      <c r="R96" s="111"/>
      <c r="S96" s="111"/>
    </row>
    <row r="97" spans="1:19" ht="15.6">
      <c r="A97" t="s">
        <v>211</v>
      </c>
      <c r="B97" s="124">
        <v>8.6999999999999993</v>
      </c>
      <c r="C97" s="122"/>
      <c r="D97" s="122"/>
      <c r="E97" s="111"/>
      <c r="F97" s="111"/>
      <c r="G97" s="111"/>
      <c r="H97" s="111"/>
      <c r="I97" s="111"/>
      <c r="J97" s="111"/>
      <c r="K97" s="111"/>
      <c r="L97" s="111"/>
      <c r="M97" s="111"/>
      <c r="N97" s="111"/>
      <c r="O97" s="111"/>
      <c r="P97" s="111"/>
      <c r="Q97" s="111"/>
      <c r="R97" s="111"/>
      <c r="S97" s="111"/>
    </row>
    <row r="98" spans="1:19" ht="15.6">
      <c r="A98" t="s">
        <v>212</v>
      </c>
      <c r="B98" s="124">
        <v>11.3</v>
      </c>
      <c r="C98" s="122"/>
      <c r="D98" s="122"/>
      <c r="E98" s="111"/>
      <c r="F98" s="111"/>
      <c r="G98" s="111"/>
      <c r="H98" s="111"/>
      <c r="I98" s="111"/>
      <c r="J98" s="111"/>
      <c r="K98" s="111"/>
      <c r="L98" s="111"/>
      <c r="M98" s="111"/>
      <c r="N98" s="111"/>
      <c r="O98" s="111"/>
      <c r="P98" s="111"/>
      <c r="Q98" s="111"/>
      <c r="R98" s="111"/>
      <c r="S98" s="111"/>
    </row>
    <row r="99" spans="1:19" ht="15.6">
      <c r="A99" t="s">
        <v>213</v>
      </c>
      <c r="B99" s="124">
        <v>31.8</v>
      </c>
      <c r="C99" s="122"/>
      <c r="D99" s="122"/>
      <c r="E99" s="111"/>
      <c r="F99" s="111"/>
      <c r="G99" s="111"/>
      <c r="H99" s="111"/>
      <c r="I99" s="111"/>
      <c r="J99" s="111"/>
      <c r="K99" s="111"/>
      <c r="L99" s="111"/>
      <c r="M99" s="111"/>
      <c r="N99" s="111"/>
      <c r="O99" s="111"/>
      <c r="P99" s="111"/>
      <c r="Q99" s="111"/>
      <c r="R99" s="111"/>
      <c r="S99" s="111"/>
    </row>
    <row r="100" spans="1:19" ht="15.6">
      <c r="A100" t="s">
        <v>214</v>
      </c>
      <c r="B100" s="124">
        <v>22.5</v>
      </c>
      <c r="C100" s="122"/>
      <c r="D100" s="122"/>
      <c r="E100" s="111"/>
      <c r="F100" s="111"/>
      <c r="G100" s="111"/>
      <c r="H100" s="111"/>
      <c r="I100" s="111"/>
      <c r="J100" s="111"/>
      <c r="K100" s="111"/>
      <c r="L100" s="111"/>
      <c r="M100" s="111"/>
      <c r="N100" s="111"/>
      <c r="O100" s="111"/>
      <c r="P100" s="111"/>
      <c r="Q100" s="111"/>
      <c r="R100" s="111"/>
      <c r="S100" s="111"/>
    </row>
    <row r="101" spans="1:19" ht="15.6">
      <c r="A101" t="s">
        <v>215</v>
      </c>
      <c r="B101" s="124">
        <v>20.5</v>
      </c>
      <c r="C101" s="122"/>
      <c r="D101" s="122"/>
      <c r="E101" s="111"/>
      <c r="F101" s="111"/>
      <c r="G101" s="111"/>
      <c r="H101" s="111"/>
      <c r="I101" s="111"/>
      <c r="J101" s="111"/>
      <c r="K101" s="111"/>
      <c r="L101" s="111"/>
      <c r="M101" s="111"/>
      <c r="N101" s="111"/>
      <c r="O101" s="111"/>
      <c r="P101" s="111"/>
      <c r="Q101" s="111"/>
      <c r="R101" s="111"/>
      <c r="S101" s="111"/>
    </row>
    <row r="102" spans="1:19" ht="15.6">
      <c r="A102" t="s">
        <v>216</v>
      </c>
      <c r="B102" s="124">
        <v>13.7</v>
      </c>
      <c r="C102" s="122"/>
      <c r="D102" s="122"/>
      <c r="E102" s="111"/>
      <c r="F102" s="111"/>
      <c r="G102" s="111"/>
      <c r="H102" s="111"/>
      <c r="I102" s="111"/>
      <c r="J102" s="111"/>
      <c r="K102" s="111"/>
      <c r="L102" s="111"/>
      <c r="M102" s="111"/>
      <c r="N102" s="111"/>
      <c r="O102" s="111"/>
      <c r="P102" s="111"/>
      <c r="Q102" s="111"/>
      <c r="R102" s="111"/>
      <c r="S102" s="111"/>
    </row>
    <row r="103" spans="1:19" ht="15.6">
      <c r="A103" t="s">
        <v>217</v>
      </c>
      <c r="B103" s="124">
        <v>24.9</v>
      </c>
      <c r="C103" s="122"/>
      <c r="D103" s="122"/>
      <c r="E103" s="111"/>
      <c r="F103" s="111"/>
      <c r="G103" s="111"/>
      <c r="H103" s="111"/>
      <c r="I103" s="111"/>
      <c r="J103" s="111"/>
      <c r="K103" s="111"/>
      <c r="L103" s="111"/>
      <c r="M103" s="111"/>
      <c r="N103" s="111"/>
      <c r="O103" s="111"/>
      <c r="P103" s="111"/>
      <c r="Q103" s="111"/>
      <c r="R103" s="111"/>
      <c r="S103" s="111"/>
    </row>
    <row r="104" spans="1:19" ht="15.6">
      <c r="A104" t="s">
        <v>218</v>
      </c>
      <c r="B104" s="124">
        <v>25.3</v>
      </c>
      <c r="C104" s="122"/>
      <c r="D104" s="122"/>
      <c r="E104" s="111"/>
      <c r="F104" s="111"/>
      <c r="G104" s="111"/>
      <c r="H104" s="111"/>
      <c r="I104" s="111"/>
      <c r="J104" s="111"/>
      <c r="K104" s="111"/>
      <c r="L104" s="111"/>
      <c r="M104" s="111"/>
      <c r="N104" s="111"/>
      <c r="O104" s="111"/>
      <c r="P104" s="111"/>
      <c r="Q104" s="111"/>
      <c r="R104" s="111"/>
      <c r="S104" s="111"/>
    </row>
    <row r="105" spans="1:19" ht="15.6">
      <c r="A105" t="s">
        <v>219</v>
      </c>
      <c r="B105" s="124">
        <v>29.5</v>
      </c>
      <c r="C105" s="122"/>
      <c r="D105" s="122"/>
      <c r="E105" s="111"/>
      <c r="F105" s="111"/>
      <c r="G105" s="111"/>
      <c r="H105" s="111"/>
      <c r="I105" s="111"/>
      <c r="J105" s="111"/>
      <c r="K105" s="111"/>
      <c r="L105" s="111"/>
      <c r="M105" s="111"/>
      <c r="N105" s="111"/>
      <c r="O105" s="111"/>
      <c r="P105" s="111"/>
      <c r="Q105" s="111"/>
      <c r="R105" s="111"/>
      <c r="S105" s="111"/>
    </row>
    <row r="106" spans="1:19" ht="15.6">
      <c r="A106" t="s">
        <v>220</v>
      </c>
      <c r="B106" s="124">
        <v>21.9</v>
      </c>
      <c r="C106" s="122"/>
      <c r="D106" s="122"/>
      <c r="E106" s="111"/>
      <c r="F106" s="111"/>
      <c r="G106" s="111"/>
      <c r="H106" s="111"/>
      <c r="I106" s="111"/>
      <c r="J106" s="111"/>
      <c r="K106" s="111"/>
      <c r="L106" s="111"/>
      <c r="M106" s="111"/>
      <c r="N106" s="111"/>
      <c r="O106" s="111"/>
      <c r="P106" s="111"/>
      <c r="Q106" s="111"/>
      <c r="R106" s="111"/>
      <c r="S106" s="111"/>
    </row>
    <row r="107" spans="1:19" ht="15.6">
      <c r="A107" t="s">
        <v>221</v>
      </c>
      <c r="B107" s="124">
        <v>40.200000000000003</v>
      </c>
      <c r="C107" s="122"/>
      <c r="D107" s="122"/>
      <c r="E107" s="111"/>
      <c r="F107" s="111"/>
      <c r="G107" s="111"/>
      <c r="H107" s="111"/>
      <c r="I107" s="111"/>
      <c r="J107" s="111"/>
      <c r="K107" s="111"/>
      <c r="L107" s="111"/>
      <c r="M107" s="111"/>
      <c r="N107" s="111"/>
      <c r="O107" s="111"/>
      <c r="P107" s="111"/>
      <c r="Q107" s="111"/>
      <c r="R107" s="111"/>
      <c r="S107" s="111"/>
    </row>
    <row r="108" spans="1:19" ht="15.6">
      <c r="A108" t="s">
        <v>222</v>
      </c>
      <c r="B108" s="124">
        <v>27.5</v>
      </c>
      <c r="C108" s="122"/>
      <c r="D108" s="122"/>
      <c r="E108" s="111"/>
      <c r="F108" s="111"/>
      <c r="G108" s="111"/>
      <c r="H108" s="111"/>
      <c r="I108" s="111"/>
      <c r="J108" s="111"/>
      <c r="K108" s="111"/>
      <c r="L108" s="111"/>
      <c r="M108" s="111"/>
      <c r="N108" s="111"/>
      <c r="O108" s="111"/>
      <c r="P108" s="111"/>
      <c r="Q108" s="111"/>
      <c r="R108" s="111"/>
      <c r="S108" s="111"/>
    </row>
    <row r="109" spans="1:19" ht="15.6">
      <c r="A109" t="s">
        <v>223</v>
      </c>
      <c r="B109" s="124">
        <v>19.600000000000001</v>
      </c>
      <c r="C109" s="122"/>
      <c r="D109" s="122"/>
      <c r="E109" s="111"/>
      <c r="F109" s="111"/>
      <c r="G109" s="111"/>
      <c r="H109" s="111"/>
      <c r="I109" s="111"/>
      <c r="J109" s="111"/>
      <c r="K109" s="111"/>
      <c r="L109" s="111"/>
      <c r="M109" s="111"/>
      <c r="N109" s="111"/>
      <c r="O109" s="111"/>
      <c r="P109" s="111"/>
      <c r="Q109" s="111"/>
      <c r="R109" s="111"/>
      <c r="S109" s="111"/>
    </row>
    <row r="110" spans="1:19" ht="15.6">
      <c r="A110" t="s">
        <v>224</v>
      </c>
      <c r="B110" s="124">
        <v>33.6</v>
      </c>
      <c r="C110" s="122"/>
      <c r="D110" s="122"/>
      <c r="E110" s="111"/>
      <c r="F110" s="111"/>
      <c r="G110" s="111"/>
      <c r="H110" s="111"/>
      <c r="I110" s="111"/>
      <c r="J110" s="111"/>
      <c r="K110" s="111"/>
      <c r="L110" s="111"/>
      <c r="M110" s="111"/>
      <c r="N110" s="111"/>
      <c r="O110" s="111"/>
      <c r="P110" s="111"/>
      <c r="Q110" s="111"/>
      <c r="R110" s="111"/>
      <c r="S110" s="111"/>
    </row>
    <row r="111" spans="1:19" ht="15.6">
      <c r="A111" t="s">
        <v>225</v>
      </c>
      <c r="B111" s="124">
        <v>18.899999999999999</v>
      </c>
      <c r="C111" s="122"/>
      <c r="D111" s="122"/>
      <c r="E111" s="111"/>
      <c r="F111" s="111"/>
      <c r="G111" s="111"/>
      <c r="H111" s="111"/>
      <c r="I111" s="111"/>
      <c r="J111" s="111"/>
      <c r="K111" s="111"/>
      <c r="L111" s="111"/>
      <c r="M111" s="111"/>
      <c r="N111" s="111"/>
      <c r="O111" s="111"/>
      <c r="P111" s="111"/>
      <c r="Q111" s="111"/>
      <c r="R111" s="111"/>
      <c r="S111" s="111"/>
    </row>
    <row r="112" spans="1:19" ht="15.6">
      <c r="A112" t="s">
        <v>226</v>
      </c>
      <c r="B112" s="124">
        <v>32.200000000000003</v>
      </c>
      <c r="C112" s="122"/>
      <c r="D112" s="122"/>
      <c r="E112" s="111"/>
      <c r="F112" s="111"/>
      <c r="G112" s="111"/>
      <c r="H112" s="111"/>
      <c r="I112" s="111"/>
      <c r="J112" s="111"/>
      <c r="K112" s="111"/>
      <c r="L112" s="111"/>
      <c r="M112" s="111"/>
      <c r="N112" s="111"/>
      <c r="O112" s="111"/>
      <c r="P112" s="111"/>
      <c r="Q112" s="111"/>
      <c r="R112" s="111"/>
      <c r="S112" s="111"/>
    </row>
    <row r="113" spans="1:19" ht="15.6">
      <c r="A113" t="s">
        <v>227</v>
      </c>
      <c r="B113" s="124">
        <v>17.3</v>
      </c>
      <c r="C113" s="122"/>
      <c r="D113" s="122"/>
      <c r="E113" s="111"/>
      <c r="F113" s="111"/>
      <c r="G113" s="111"/>
      <c r="H113" s="111"/>
      <c r="I113" s="111"/>
      <c r="J113" s="111"/>
      <c r="K113" s="111"/>
      <c r="L113" s="111"/>
      <c r="M113" s="111"/>
      <c r="N113" s="111"/>
      <c r="O113" s="111"/>
      <c r="P113" s="111"/>
      <c r="Q113" s="111"/>
      <c r="R113" s="111"/>
      <c r="S113" s="111"/>
    </row>
    <row r="114" spans="1:19" ht="15.6">
      <c r="A114" t="s">
        <v>228</v>
      </c>
      <c r="B114" s="124">
        <v>6.8</v>
      </c>
      <c r="C114" s="122"/>
      <c r="D114" s="122"/>
      <c r="E114" s="111"/>
      <c r="F114" s="111"/>
      <c r="G114" s="111"/>
      <c r="H114" s="111"/>
      <c r="I114" s="111"/>
      <c r="J114" s="111"/>
      <c r="K114" s="111"/>
      <c r="L114" s="111"/>
      <c r="M114" s="111"/>
      <c r="N114" s="111"/>
      <c r="O114" s="111"/>
      <c r="P114" s="111"/>
      <c r="Q114" s="111"/>
      <c r="R114" s="111"/>
      <c r="S114" s="111"/>
    </row>
    <row r="115" spans="1:19" ht="15.6">
      <c r="A115" t="s">
        <v>229</v>
      </c>
      <c r="B115" s="124">
        <v>29.3</v>
      </c>
      <c r="C115" s="122"/>
      <c r="D115" s="122"/>
      <c r="E115" s="111"/>
      <c r="F115" s="111"/>
      <c r="G115" s="111"/>
      <c r="H115" s="111"/>
      <c r="I115" s="111"/>
      <c r="J115" s="111"/>
      <c r="K115" s="111"/>
      <c r="L115" s="111"/>
      <c r="M115" s="111"/>
      <c r="N115" s="111"/>
      <c r="O115" s="111"/>
      <c r="P115" s="111"/>
      <c r="Q115" s="111"/>
      <c r="R115" s="111"/>
      <c r="S115" s="111"/>
    </row>
    <row r="116" spans="1:19" ht="15.6">
      <c r="A116" t="s">
        <v>230</v>
      </c>
      <c r="B116" s="124">
        <v>9.9</v>
      </c>
      <c r="C116" s="122"/>
      <c r="D116" s="122"/>
      <c r="E116" s="111"/>
      <c r="F116" s="111"/>
      <c r="G116" s="111"/>
      <c r="H116" s="111"/>
      <c r="I116" s="111"/>
      <c r="J116" s="111"/>
      <c r="K116" s="111"/>
      <c r="L116" s="111"/>
      <c r="M116" s="111"/>
      <c r="N116" s="111"/>
      <c r="O116" s="111"/>
      <c r="P116" s="111"/>
      <c r="Q116" s="111"/>
      <c r="R116" s="111"/>
      <c r="S116" s="111"/>
    </row>
    <row r="117" spans="1:19" ht="15.6">
      <c r="A117" t="s">
        <v>231</v>
      </c>
      <c r="B117" s="124">
        <v>34.9</v>
      </c>
      <c r="C117" s="122"/>
      <c r="D117" s="122"/>
      <c r="E117" s="111"/>
      <c r="F117" s="111"/>
      <c r="G117" s="111"/>
      <c r="H117" s="111"/>
      <c r="I117" s="111"/>
      <c r="J117" s="111"/>
      <c r="K117" s="111"/>
      <c r="L117" s="111"/>
      <c r="M117" s="111"/>
      <c r="N117" s="111"/>
      <c r="O117" s="111"/>
      <c r="P117" s="111"/>
      <c r="Q117" s="111"/>
      <c r="R117" s="111"/>
      <c r="S117" s="111"/>
    </row>
    <row r="118" spans="1:19" ht="15.6">
      <c r="A118" t="s">
        <v>232</v>
      </c>
      <c r="B118" s="125">
        <v>11</v>
      </c>
      <c r="C118" s="122"/>
      <c r="D118" s="122"/>
      <c r="E118" s="111"/>
      <c r="F118" s="111"/>
      <c r="G118" s="111"/>
      <c r="H118" s="111"/>
      <c r="I118" s="111"/>
      <c r="J118" s="111"/>
      <c r="K118" s="111"/>
      <c r="L118" s="111"/>
      <c r="M118" s="111"/>
      <c r="N118" s="111"/>
      <c r="O118" s="111"/>
      <c r="P118" s="111"/>
      <c r="Q118" s="111"/>
      <c r="R118" s="111"/>
      <c r="S118" s="111"/>
    </row>
    <row r="119" spans="1:19" ht="15.6">
      <c r="A119" t="s">
        <v>233</v>
      </c>
      <c r="B119" s="124">
        <v>11.9</v>
      </c>
      <c r="C119" s="122"/>
      <c r="D119" s="122"/>
      <c r="E119" s="111"/>
      <c r="F119" s="111"/>
      <c r="G119" s="111"/>
      <c r="H119" s="111"/>
      <c r="I119" s="111"/>
      <c r="J119" s="111"/>
      <c r="K119" s="111"/>
      <c r="L119" s="111"/>
      <c r="M119" s="111"/>
      <c r="N119" s="111"/>
      <c r="O119" s="111"/>
      <c r="P119" s="111"/>
      <c r="Q119" s="111"/>
      <c r="R119" s="111"/>
      <c r="S119" s="111"/>
    </row>
    <row r="120" spans="1:19" ht="15.6">
      <c r="A120" t="s">
        <v>234</v>
      </c>
      <c r="B120" s="124">
        <v>17.5</v>
      </c>
      <c r="C120" s="122"/>
      <c r="D120" s="122"/>
      <c r="E120" s="111"/>
      <c r="F120" s="111"/>
      <c r="G120" s="111"/>
      <c r="H120" s="111"/>
      <c r="I120" s="111"/>
      <c r="J120" s="111"/>
      <c r="K120" s="111"/>
      <c r="L120" s="111"/>
      <c r="M120" s="111"/>
      <c r="N120" s="111"/>
      <c r="O120" s="111"/>
      <c r="P120" s="111"/>
      <c r="Q120" s="111"/>
      <c r="R120" s="111"/>
      <c r="S120" s="111"/>
    </row>
    <row r="121" spans="1:19" ht="15.6">
      <c r="A121" t="s">
        <v>235</v>
      </c>
      <c r="B121" s="124">
        <v>30.8</v>
      </c>
      <c r="C121" s="122"/>
      <c r="D121" s="122"/>
      <c r="E121" s="111"/>
      <c r="F121" s="111"/>
      <c r="G121" s="111"/>
      <c r="H121" s="111"/>
      <c r="I121" s="111"/>
      <c r="J121" s="111"/>
      <c r="K121" s="111"/>
      <c r="L121" s="111"/>
      <c r="M121" s="111"/>
      <c r="N121" s="111"/>
      <c r="O121" s="111"/>
      <c r="P121" s="111"/>
      <c r="Q121" s="111"/>
      <c r="R121" s="111"/>
      <c r="S121" s="111"/>
    </row>
    <row r="122" spans="1:19" ht="15.6">
      <c r="A122" t="s">
        <v>236</v>
      </c>
      <c r="B122" s="124">
        <v>5.4</v>
      </c>
      <c r="C122" s="122"/>
      <c r="D122" s="122"/>
      <c r="E122" s="111"/>
      <c r="F122" s="111"/>
      <c r="G122" s="111"/>
      <c r="H122" s="111"/>
      <c r="I122" s="111"/>
      <c r="J122" s="111"/>
      <c r="K122" s="111"/>
      <c r="L122" s="111"/>
      <c r="M122" s="111"/>
      <c r="N122" s="111"/>
      <c r="O122" s="111"/>
      <c r="P122" s="111"/>
      <c r="Q122" s="111"/>
      <c r="R122" s="111"/>
      <c r="S122" s="111"/>
    </row>
    <row r="123" spans="1:19" ht="15.6">
      <c r="A123" t="s">
        <v>237</v>
      </c>
      <c r="B123" s="124">
        <v>36.1</v>
      </c>
      <c r="C123" s="122"/>
      <c r="D123" s="122"/>
      <c r="E123" s="111"/>
      <c r="F123" s="111"/>
      <c r="G123" s="111"/>
      <c r="H123" s="111"/>
      <c r="I123" s="111"/>
      <c r="J123" s="111"/>
      <c r="K123" s="111"/>
      <c r="L123" s="111"/>
      <c r="M123" s="111"/>
      <c r="N123" s="111"/>
      <c r="O123" s="111"/>
      <c r="P123" s="111"/>
      <c r="Q123" s="111"/>
      <c r="R123" s="111"/>
      <c r="S123" s="111"/>
    </row>
    <row r="124" spans="1:19" ht="15.6">
      <c r="A124" t="s">
        <v>238</v>
      </c>
      <c r="B124" s="124">
        <v>13.1</v>
      </c>
      <c r="C124" s="122"/>
      <c r="D124" s="122"/>
      <c r="E124" s="111"/>
      <c r="F124" s="111"/>
      <c r="G124" s="111"/>
      <c r="H124" s="111"/>
      <c r="I124" s="111"/>
      <c r="J124" s="111"/>
      <c r="K124" s="111"/>
      <c r="L124" s="111"/>
      <c r="M124" s="111"/>
      <c r="N124" s="111"/>
      <c r="O124" s="111"/>
      <c r="P124" s="111"/>
      <c r="Q124" s="111"/>
      <c r="R124" s="111"/>
      <c r="S124" s="111"/>
    </row>
    <row r="125" spans="1:19" ht="15.6">
      <c r="A125" t="s">
        <v>239</v>
      </c>
      <c r="B125" s="124">
        <v>7.9</v>
      </c>
      <c r="C125" s="122"/>
      <c r="D125" s="122"/>
      <c r="E125" s="111"/>
      <c r="F125" s="111"/>
      <c r="G125" s="111"/>
      <c r="H125" s="111"/>
      <c r="I125" s="111"/>
      <c r="J125" s="111"/>
      <c r="K125" s="111"/>
      <c r="L125" s="111"/>
      <c r="M125" s="111"/>
      <c r="N125" s="111"/>
      <c r="O125" s="111"/>
      <c r="P125" s="111"/>
      <c r="Q125" s="111"/>
      <c r="R125" s="111"/>
      <c r="S125" s="111"/>
    </row>
    <row r="126" spans="1:19" ht="15.6">
      <c r="A126" t="s">
        <v>240</v>
      </c>
      <c r="B126" s="124">
        <v>16.100000000000001</v>
      </c>
      <c r="C126" s="122"/>
      <c r="D126" s="122"/>
      <c r="E126" s="111"/>
      <c r="F126" s="111"/>
      <c r="G126" s="111"/>
      <c r="H126" s="111"/>
      <c r="I126" s="111"/>
      <c r="J126" s="111"/>
      <c r="K126" s="111"/>
      <c r="L126" s="111"/>
      <c r="M126" s="111"/>
      <c r="N126" s="111"/>
      <c r="O126" s="111"/>
      <c r="P126" s="111"/>
      <c r="Q126" s="111"/>
      <c r="R126" s="111"/>
      <c r="S126" s="111"/>
    </row>
    <row r="127" spans="1:19" ht="15.6">
      <c r="A127" t="s">
        <v>241</v>
      </c>
      <c r="B127" s="124">
        <v>9.3000000000000007</v>
      </c>
      <c r="C127" s="122"/>
      <c r="D127" s="122"/>
      <c r="E127" s="111"/>
      <c r="F127" s="111"/>
      <c r="G127" s="111"/>
      <c r="H127" s="111"/>
      <c r="I127" s="111"/>
      <c r="J127" s="111"/>
      <c r="K127" s="111"/>
      <c r="L127" s="111"/>
      <c r="M127" s="111"/>
      <c r="N127" s="111"/>
      <c r="O127" s="111"/>
      <c r="P127" s="111"/>
      <c r="Q127" s="111"/>
      <c r="R127" s="111"/>
      <c r="S127" s="111"/>
    </row>
    <row r="128" spans="1:19" ht="15.6">
      <c r="A128" t="s">
        <v>242</v>
      </c>
      <c r="B128" s="124">
        <v>18.7</v>
      </c>
      <c r="C128" s="122"/>
      <c r="D128" s="122"/>
      <c r="E128" s="111"/>
      <c r="F128" s="111"/>
      <c r="G128" s="111"/>
      <c r="H128" s="111"/>
      <c r="I128" s="111"/>
      <c r="J128" s="111"/>
      <c r="K128" s="111"/>
      <c r="L128" s="111"/>
      <c r="M128" s="111"/>
      <c r="N128" s="111"/>
      <c r="O128" s="111"/>
      <c r="P128" s="111"/>
      <c r="Q128" s="111"/>
      <c r="R128" s="111"/>
      <c r="S128" s="111"/>
    </row>
    <row r="129" spans="1:19" ht="15.6">
      <c r="A129" t="s">
        <v>243</v>
      </c>
      <c r="B129" s="124">
        <v>24.4</v>
      </c>
      <c r="C129" s="122"/>
      <c r="D129" s="122"/>
      <c r="E129" s="111"/>
      <c r="F129" s="111"/>
      <c r="G129" s="111"/>
      <c r="H129" s="111"/>
      <c r="I129" s="111"/>
      <c r="J129" s="111"/>
      <c r="K129" s="111"/>
      <c r="L129" s="111"/>
      <c r="M129" s="111"/>
      <c r="N129" s="111"/>
      <c r="O129" s="111"/>
      <c r="P129" s="111"/>
      <c r="Q129" s="111"/>
      <c r="R129" s="111"/>
      <c r="S129" s="111"/>
    </row>
    <row r="130" spans="1:19" ht="15.6">
      <c r="A130" t="s">
        <v>244</v>
      </c>
      <c r="B130" s="124">
        <v>11.6</v>
      </c>
      <c r="C130" s="111"/>
      <c r="D130" s="111"/>
      <c r="E130" s="111"/>
      <c r="F130" s="111"/>
      <c r="G130" s="111"/>
      <c r="H130" s="111"/>
      <c r="I130" s="111"/>
      <c r="J130" s="111"/>
      <c r="K130" s="111"/>
      <c r="L130" s="111"/>
      <c r="M130" s="111"/>
      <c r="N130" s="111"/>
      <c r="O130" s="111"/>
      <c r="P130" s="111"/>
      <c r="Q130" s="111"/>
      <c r="R130" s="111"/>
      <c r="S130" s="111"/>
    </row>
    <row r="131" spans="1:19" ht="15.6">
      <c r="A131" t="s">
        <v>245</v>
      </c>
      <c r="B131" s="124">
        <v>8.9</v>
      </c>
      <c r="C131" s="111"/>
      <c r="D131" s="111"/>
      <c r="E131" s="111"/>
      <c r="F131" s="111"/>
      <c r="G131" s="111"/>
      <c r="H131" s="111"/>
      <c r="I131" s="111"/>
      <c r="J131" s="111"/>
      <c r="K131" s="111"/>
      <c r="L131" s="111"/>
      <c r="M131" s="111"/>
      <c r="N131" s="111"/>
      <c r="O131" s="111"/>
      <c r="P131" s="111"/>
      <c r="Q131" s="111"/>
      <c r="R131" s="111"/>
      <c r="S131" s="111"/>
    </row>
    <row r="132" spans="1:19" ht="15.6">
      <c r="A132" t="s">
        <v>246</v>
      </c>
      <c r="B132" s="124">
        <v>1.9</v>
      </c>
      <c r="C132" s="111"/>
      <c r="D132" s="111"/>
      <c r="E132" s="111"/>
      <c r="F132" s="111"/>
      <c r="G132" s="111"/>
      <c r="H132" s="111"/>
      <c r="I132" s="111"/>
      <c r="J132" s="111"/>
      <c r="K132" s="111"/>
      <c r="L132" s="111"/>
      <c r="M132" s="111"/>
      <c r="N132" s="111"/>
      <c r="O132" s="111"/>
      <c r="P132" s="111"/>
      <c r="Q132" s="111"/>
      <c r="R132" s="111"/>
      <c r="S132" s="111"/>
    </row>
    <row r="133" spans="1:19" ht="15.6">
      <c r="A133" t="s">
        <v>247</v>
      </c>
      <c r="B133" s="124">
        <v>24.2</v>
      </c>
      <c r="C133" s="111"/>
      <c r="D133" s="111"/>
      <c r="E133" s="111"/>
      <c r="F133" s="111"/>
      <c r="G133" s="111"/>
      <c r="H133" s="111"/>
      <c r="I133" s="111"/>
      <c r="J133" s="111"/>
      <c r="K133" s="111"/>
      <c r="L133" s="111"/>
      <c r="M133" s="111"/>
      <c r="N133" s="111"/>
      <c r="O133" s="111"/>
      <c r="P133" s="111"/>
      <c r="Q133" s="111"/>
      <c r="R133" s="111"/>
      <c r="S133" s="111"/>
    </row>
    <row r="134" spans="1:19" ht="15.6">
      <c r="A134" t="s">
        <v>248</v>
      </c>
      <c r="B134" s="124">
        <v>8.1999999999999993</v>
      </c>
      <c r="C134" s="111"/>
      <c r="D134" s="111"/>
      <c r="E134" s="111"/>
      <c r="F134" s="111"/>
      <c r="G134" s="111"/>
      <c r="H134" s="111"/>
      <c r="I134" s="111"/>
      <c r="J134" s="111"/>
      <c r="K134" s="111"/>
      <c r="L134" s="111"/>
      <c r="M134" s="111"/>
      <c r="N134" s="111"/>
      <c r="O134" s="111"/>
      <c r="P134" s="111"/>
      <c r="Q134" s="111"/>
      <c r="R134" s="111"/>
      <c r="S134" s="111"/>
    </row>
    <row r="135" spans="1:19" ht="15.6">
      <c r="A135" t="s">
        <v>249</v>
      </c>
      <c r="B135" s="125">
        <v>5</v>
      </c>
      <c r="C135" s="111"/>
      <c r="D135" s="111"/>
      <c r="E135" s="111"/>
      <c r="F135" s="111"/>
      <c r="G135" s="111"/>
      <c r="H135" s="111"/>
      <c r="I135" s="111"/>
      <c r="J135" s="111"/>
      <c r="K135" s="111"/>
      <c r="L135" s="111"/>
      <c r="M135" s="111"/>
      <c r="N135" s="111"/>
      <c r="O135" s="111"/>
      <c r="P135" s="111"/>
      <c r="Q135" s="111"/>
      <c r="R135" s="111"/>
      <c r="S135" s="111"/>
    </row>
    <row r="136" spans="1:19" ht="15.6">
      <c r="A136" t="s">
        <v>250</v>
      </c>
      <c r="B136" s="124">
        <v>13.5</v>
      </c>
      <c r="C136" s="111"/>
      <c r="D136" s="111"/>
      <c r="E136" s="111"/>
      <c r="F136" s="111"/>
      <c r="G136" s="111"/>
      <c r="H136" s="111"/>
      <c r="I136" s="111"/>
      <c r="J136" s="111"/>
      <c r="K136" s="111"/>
      <c r="L136" s="111"/>
      <c r="M136" s="111"/>
      <c r="N136" s="111"/>
      <c r="O136" s="111"/>
      <c r="P136" s="111"/>
      <c r="Q136" s="111"/>
      <c r="R136" s="111"/>
      <c r="S136" s="111"/>
    </row>
    <row r="137" spans="1:19" ht="15.6">
      <c r="A137" t="s">
        <v>251</v>
      </c>
      <c r="B137" s="124">
        <v>6.2</v>
      </c>
      <c r="C137" s="111"/>
      <c r="D137" s="111"/>
      <c r="E137" s="111"/>
      <c r="F137" s="111"/>
      <c r="G137" s="111"/>
      <c r="H137" s="111"/>
      <c r="I137" s="111"/>
      <c r="J137" s="111"/>
      <c r="K137" s="111"/>
      <c r="L137" s="111"/>
      <c r="M137" s="111"/>
      <c r="N137" s="111"/>
      <c r="O137" s="111"/>
      <c r="P137" s="111"/>
      <c r="Q137" s="111"/>
      <c r="R137" s="111"/>
      <c r="S137" s="111"/>
    </row>
    <row r="138" spans="1:19" ht="15.6">
      <c r="A138" t="s">
        <v>252</v>
      </c>
      <c r="B138" s="124">
        <v>8.1999999999999993</v>
      </c>
      <c r="C138" s="111"/>
      <c r="D138" s="111"/>
      <c r="E138" s="111"/>
      <c r="F138" s="111"/>
      <c r="G138" s="111"/>
      <c r="H138" s="111"/>
      <c r="I138" s="111"/>
      <c r="J138" s="111"/>
      <c r="K138" s="111"/>
      <c r="L138" s="111"/>
      <c r="M138" s="111"/>
      <c r="N138" s="111"/>
      <c r="O138" s="111"/>
      <c r="P138" s="111"/>
      <c r="Q138" s="111"/>
      <c r="R138" s="111"/>
      <c r="S138" s="111"/>
    </row>
    <row r="139" spans="1:19" ht="15.6">
      <c r="A139" t="s">
        <v>253</v>
      </c>
      <c r="B139" s="124">
        <v>4.2</v>
      </c>
      <c r="C139" s="111"/>
      <c r="D139" s="111"/>
      <c r="E139" s="111"/>
      <c r="F139" s="111"/>
      <c r="G139" s="111"/>
      <c r="H139" s="111"/>
      <c r="I139" s="111"/>
      <c r="J139" s="111"/>
      <c r="K139" s="111"/>
      <c r="L139" s="111"/>
      <c r="M139" s="111"/>
      <c r="N139" s="111"/>
      <c r="O139" s="111"/>
      <c r="P139" s="111"/>
      <c r="Q139" s="111"/>
      <c r="R139" s="111"/>
      <c r="S139" s="111"/>
    </row>
    <row r="140" spans="1:19" ht="15.6">
      <c r="A140" t="s">
        <v>254</v>
      </c>
      <c r="B140" s="124">
        <v>2.2999999999999998</v>
      </c>
      <c r="C140" s="111"/>
      <c r="D140" s="111"/>
      <c r="E140" s="111"/>
      <c r="F140" s="111"/>
      <c r="G140" s="111"/>
      <c r="H140" s="111"/>
      <c r="I140" s="111"/>
      <c r="J140" s="111"/>
      <c r="K140" s="111"/>
      <c r="L140" s="111"/>
      <c r="M140" s="111"/>
      <c r="N140" s="111"/>
      <c r="O140" s="111"/>
      <c r="P140" s="111"/>
      <c r="Q140" s="111"/>
      <c r="R140" s="111"/>
      <c r="S140" s="111"/>
    </row>
    <row r="141" spans="1:19">
      <c r="A141" s="111"/>
      <c r="B141" s="111"/>
      <c r="C141" s="111"/>
      <c r="D141" s="111"/>
      <c r="E141" s="111"/>
      <c r="F141" s="111"/>
      <c r="G141" s="111"/>
      <c r="H141" s="111"/>
      <c r="I141" s="111"/>
      <c r="J141" s="111"/>
      <c r="K141" s="111"/>
      <c r="L141" s="111"/>
      <c r="M141" s="111"/>
      <c r="N141" s="111"/>
      <c r="O141" s="111"/>
      <c r="P141" s="111"/>
      <c r="Q141" s="111"/>
    </row>
    <row r="142" spans="1:19">
      <c r="A142" s="111"/>
      <c r="B142" s="111"/>
      <c r="C142" s="111"/>
      <c r="D142" s="111"/>
      <c r="E142" s="111"/>
      <c r="F142" s="111"/>
      <c r="G142" s="111"/>
      <c r="H142" s="111"/>
      <c r="I142" s="111"/>
      <c r="J142" s="111"/>
      <c r="K142" s="111"/>
      <c r="L142" s="111"/>
      <c r="M142" s="111"/>
      <c r="N142" s="111"/>
      <c r="O142" s="111"/>
      <c r="P142" s="111"/>
      <c r="Q142" s="111"/>
    </row>
    <row r="143" spans="1:19">
      <c r="A143" s="111"/>
      <c r="B143" s="111"/>
      <c r="C143" s="111"/>
      <c r="D143" s="111"/>
      <c r="E143" s="111"/>
      <c r="F143" s="111"/>
      <c r="G143" s="111"/>
      <c r="H143" s="111"/>
      <c r="I143" s="111"/>
      <c r="J143" s="111"/>
      <c r="K143" s="111"/>
      <c r="L143" s="111"/>
      <c r="M143" s="111"/>
      <c r="N143" s="111"/>
      <c r="O143" s="111"/>
      <c r="P143" s="111"/>
      <c r="Q143" s="111"/>
    </row>
    <row r="144" spans="1:19">
      <c r="A144" s="111"/>
      <c r="B144" s="111"/>
      <c r="C144" s="111"/>
      <c r="D144" s="111"/>
      <c r="E144" s="111"/>
      <c r="F144" s="111"/>
      <c r="G144" s="111"/>
      <c r="H144" s="111"/>
      <c r="I144" s="111"/>
      <c r="J144" s="111"/>
      <c r="K144" s="111"/>
      <c r="L144" s="111"/>
      <c r="M144" s="111"/>
      <c r="N144" s="111"/>
      <c r="O144" s="111"/>
      <c r="P144" s="111"/>
      <c r="Q144" s="111"/>
    </row>
    <row r="145" spans="1:19">
      <c r="A145" s="111"/>
      <c r="B145" s="111"/>
      <c r="C145" s="111"/>
      <c r="D145" s="111"/>
      <c r="E145" s="111"/>
      <c r="F145" s="111"/>
      <c r="G145" s="111"/>
      <c r="H145" s="111"/>
      <c r="I145" s="111"/>
      <c r="J145" s="111"/>
      <c r="K145" s="111"/>
      <c r="L145" s="111"/>
      <c r="M145" s="111"/>
      <c r="N145" s="111"/>
      <c r="O145" s="111"/>
      <c r="P145" s="111"/>
      <c r="Q145" s="111"/>
    </row>
    <row r="146" spans="1:19">
      <c r="A146" s="111"/>
      <c r="B146" s="111"/>
      <c r="C146" s="111"/>
      <c r="D146" s="111"/>
      <c r="E146" s="111"/>
      <c r="F146" s="111"/>
      <c r="G146" s="111"/>
      <c r="H146" s="111"/>
      <c r="I146" s="111"/>
      <c r="J146" s="111"/>
      <c r="K146" s="111"/>
      <c r="L146" s="111"/>
      <c r="M146" s="111"/>
      <c r="N146" s="111"/>
      <c r="O146" s="111"/>
      <c r="P146" s="111"/>
      <c r="Q146" s="111"/>
    </row>
    <row r="147" spans="1:19">
      <c r="A147" s="111"/>
      <c r="B147" s="111"/>
      <c r="C147" s="111"/>
      <c r="D147" s="111"/>
      <c r="E147" s="111"/>
      <c r="F147" s="111"/>
      <c r="G147" s="111"/>
      <c r="H147" s="111"/>
      <c r="I147" s="111"/>
      <c r="J147" s="111"/>
      <c r="K147" s="111"/>
      <c r="L147" s="111"/>
      <c r="M147" s="111"/>
      <c r="N147" s="111"/>
      <c r="O147" s="111"/>
      <c r="P147" s="111"/>
      <c r="Q147" s="111"/>
    </row>
    <row r="148" spans="1:19">
      <c r="A148" s="111"/>
      <c r="B148" s="111"/>
      <c r="C148" s="111"/>
      <c r="D148" s="111"/>
      <c r="E148" s="111"/>
      <c r="F148" s="111"/>
      <c r="G148" s="111"/>
      <c r="H148" s="111"/>
      <c r="I148" s="111"/>
      <c r="J148" s="111"/>
      <c r="K148" s="111"/>
      <c r="L148" s="111"/>
      <c r="M148" s="111"/>
      <c r="N148" s="111"/>
      <c r="O148" s="111"/>
      <c r="P148" s="111"/>
      <c r="Q148" s="111"/>
    </row>
    <row r="149" spans="1:19">
      <c r="A149" s="111"/>
      <c r="B149" s="111"/>
      <c r="C149" s="111"/>
      <c r="D149" s="111"/>
      <c r="E149" s="111"/>
      <c r="F149" s="111"/>
      <c r="G149" s="111"/>
      <c r="H149" s="111"/>
      <c r="I149" s="111"/>
      <c r="J149" s="111"/>
      <c r="K149" s="111"/>
      <c r="L149" s="111"/>
      <c r="M149" s="111"/>
      <c r="N149" s="111"/>
      <c r="O149" s="111"/>
      <c r="P149" s="111"/>
      <c r="Q149" s="111"/>
    </row>
    <row r="150" spans="1:19">
      <c r="B150" s="111"/>
      <c r="C150" s="111"/>
      <c r="D150" s="111"/>
      <c r="E150" s="111"/>
      <c r="F150" s="111"/>
      <c r="G150" s="111"/>
      <c r="H150" s="111"/>
      <c r="I150" s="111"/>
      <c r="J150" s="111"/>
      <c r="K150" s="111"/>
      <c r="L150" s="111"/>
      <c r="M150" s="111"/>
      <c r="N150" s="111"/>
      <c r="O150" s="111"/>
      <c r="P150" s="111"/>
      <c r="Q150" s="111"/>
      <c r="R150" s="111"/>
      <c r="S150" s="111"/>
    </row>
    <row r="151" spans="1:19">
      <c r="B151" s="111"/>
      <c r="C151" s="111"/>
      <c r="D151" s="111"/>
      <c r="E151" s="111"/>
      <c r="F151" s="111"/>
      <c r="G151" s="111"/>
      <c r="H151" s="111"/>
      <c r="I151" s="111"/>
      <c r="J151" s="111"/>
      <c r="K151" s="111"/>
      <c r="L151" s="111"/>
      <c r="M151" s="111"/>
      <c r="N151" s="111"/>
      <c r="O151" s="111"/>
      <c r="P151" s="111"/>
      <c r="Q151" s="111"/>
      <c r="R151" s="111"/>
      <c r="S151" s="111"/>
    </row>
    <row r="152" spans="1:19">
      <c r="B152" s="111"/>
      <c r="C152" s="111"/>
      <c r="D152" s="111"/>
      <c r="E152" s="111"/>
      <c r="F152" s="111"/>
      <c r="G152" s="111"/>
      <c r="H152" s="111"/>
      <c r="I152" s="111"/>
      <c r="J152" s="111"/>
      <c r="K152" s="111"/>
      <c r="L152" s="111"/>
      <c r="M152" s="111"/>
      <c r="N152" s="111"/>
      <c r="O152" s="111"/>
      <c r="P152" s="111"/>
      <c r="Q152" s="111"/>
      <c r="R152" s="111"/>
      <c r="S152" s="111"/>
    </row>
    <row r="153" spans="1:19">
      <c r="B153" s="111"/>
      <c r="C153" s="111"/>
      <c r="D153" s="111"/>
      <c r="E153" s="111"/>
      <c r="F153" s="111"/>
      <c r="G153" s="111"/>
      <c r="H153" s="111"/>
      <c r="I153" s="111"/>
      <c r="J153" s="111"/>
      <c r="K153" s="111"/>
      <c r="L153" s="111"/>
      <c r="M153" s="111"/>
      <c r="N153" s="111"/>
      <c r="O153" s="111"/>
      <c r="P153" s="111"/>
      <c r="Q153" s="111"/>
      <c r="R153" s="111"/>
      <c r="S153" s="111"/>
    </row>
    <row r="154" spans="1:19">
      <c r="B154" s="111"/>
      <c r="C154" s="111"/>
      <c r="D154" s="111"/>
      <c r="E154" s="111"/>
      <c r="F154" s="111"/>
      <c r="G154" s="111"/>
      <c r="H154" s="111"/>
      <c r="I154" s="111"/>
      <c r="J154" s="111"/>
      <c r="K154" s="111"/>
      <c r="L154" s="111"/>
      <c r="M154" s="111"/>
      <c r="N154" s="111"/>
      <c r="O154" s="111"/>
      <c r="P154" s="111"/>
      <c r="Q154" s="111"/>
      <c r="R154" s="111"/>
      <c r="S154" s="111"/>
    </row>
    <row r="155" spans="1:19">
      <c r="B155" s="111"/>
      <c r="C155" s="111"/>
      <c r="D155" s="111"/>
      <c r="E155" s="111"/>
      <c r="F155" s="111"/>
      <c r="G155" s="111"/>
      <c r="H155" s="111"/>
      <c r="I155" s="111"/>
      <c r="J155" s="111"/>
      <c r="K155" s="111"/>
      <c r="L155" s="111"/>
      <c r="M155" s="111"/>
      <c r="N155" s="111"/>
      <c r="O155" s="111"/>
      <c r="P155" s="111"/>
      <c r="Q155" s="111"/>
      <c r="R155" s="111"/>
      <c r="S155" s="111"/>
    </row>
    <row r="156" spans="1:19">
      <c r="B156" s="111"/>
      <c r="C156" s="111"/>
      <c r="D156" s="111"/>
      <c r="E156" s="111"/>
      <c r="F156" s="111"/>
      <c r="G156" s="111"/>
      <c r="H156" s="111"/>
      <c r="I156" s="111"/>
      <c r="J156" s="111"/>
      <c r="K156" s="111"/>
      <c r="L156" s="111"/>
      <c r="M156" s="111"/>
      <c r="N156" s="111"/>
      <c r="O156" s="111"/>
      <c r="P156" s="111"/>
      <c r="Q156" s="111"/>
      <c r="R156" s="111"/>
      <c r="S156" s="111"/>
    </row>
    <row r="157" spans="1:19">
      <c r="B157" s="111"/>
      <c r="C157" s="111"/>
      <c r="D157" s="111"/>
      <c r="E157" s="111"/>
      <c r="F157" s="111"/>
      <c r="G157" s="111"/>
      <c r="H157" s="111"/>
      <c r="I157" s="111"/>
      <c r="J157" s="111"/>
      <c r="K157" s="111"/>
      <c r="L157" s="111"/>
      <c r="M157" s="111"/>
      <c r="N157" s="111"/>
      <c r="O157" s="111"/>
      <c r="P157" s="111"/>
      <c r="Q157" s="111"/>
      <c r="R157" s="111"/>
      <c r="S157" s="111"/>
    </row>
    <row r="158" spans="1:19">
      <c r="B158" s="111"/>
      <c r="C158" s="111"/>
      <c r="D158" s="111"/>
      <c r="E158" s="111"/>
      <c r="F158" s="111"/>
      <c r="G158" s="111"/>
      <c r="H158" s="111"/>
      <c r="I158" s="111"/>
      <c r="J158" s="111"/>
      <c r="K158" s="111"/>
      <c r="L158" s="111"/>
      <c r="M158" s="111"/>
      <c r="N158" s="111"/>
      <c r="O158" s="111"/>
      <c r="P158" s="111"/>
      <c r="Q158" s="111"/>
      <c r="R158" s="111"/>
      <c r="S158" s="111"/>
    </row>
    <row r="159" spans="1:19">
      <c r="B159" s="111"/>
      <c r="C159" s="111"/>
      <c r="D159" s="111"/>
      <c r="E159" s="111"/>
      <c r="F159" s="111"/>
      <c r="G159" s="111"/>
      <c r="H159" s="111"/>
      <c r="I159" s="111"/>
      <c r="J159" s="111"/>
      <c r="K159" s="111"/>
      <c r="L159" s="111"/>
      <c r="M159" s="111"/>
      <c r="N159" s="111"/>
      <c r="O159" s="111"/>
      <c r="P159" s="111"/>
      <c r="Q159" s="111"/>
      <c r="R159" s="111"/>
      <c r="S159" s="111"/>
    </row>
    <row r="160" spans="1:19">
      <c r="B160" s="111"/>
      <c r="C160" s="111"/>
      <c r="D160" s="111"/>
      <c r="E160" s="111"/>
      <c r="F160" s="111"/>
      <c r="G160" s="111"/>
      <c r="H160" s="111"/>
      <c r="I160" s="111"/>
      <c r="J160" s="111"/>
      <c r="K160" s="111"/>
      <c r="L160" s="111"/>
      <c r="M160" s="111"/>
      <c r="N160" s="111"/>
      <c r="O160" s="111"/>
      <c r="P160" s="111"/>
      <c r="Q160" s="111"/>
      <c r="R160" s="111"/>
      <c r="S160" s="111"/>
    </row>
    <row r="161" spans="2:19">
      <c r="B161" s="111"/>
      <c r="C161" s="111"/>
      <c r="D161" s="111"/>
      <c r="E161" s="111"/>
      <c r="F161" s="111"/>
      <c r="G161" s="111"/>
      <c r="H161" s="111"/>
      <c r="I161" s="111"/>
      <c r="J161" s="111"/>
      <c r="K161" s="111"/>
      <c r="L161" s="111"/>
      <c r="M161" s="111"/>
      <c r="N161" s="111"/>
      <c r="O161" s="111"/>
      <c r="P161" s="111"/>
      <c r="Q161" s="111"/>
      <c r="R161" s="111"/>
      <c r="S161" s="111"/>
    </row>
    <row r="162" spans="2:19">
      <c r="B162" s="111"/>
      <c r="C162" s="111"/>
      <c r="D162" s="111"/>
      <c r="E162" s="111"/>
      <c r="F162" s="111"/>
      <c r="G162" s="111"/>
      <c r="H162" s="111"/>
      <c r="I162" s="111"/>
      <c r="J162" s="111"/>
      <c r="K162" s="111"/>
      <c r="L162" s="111"/>
      <c r="M162" s="111"/>
      <c r="N162" s="111"/>
      <c r="O162" s="111"/>
      <c r="P162" s="111"/>
      <c r="Q162" s="111"/>
      <c r="R162" s="111"/>
      <c r="S162" s="111"/>
    </row>
    <row r="163" spans="2:19">
      <c r="B163" s="111"/>
      <c r="C163" s="111"/>
      <c r="D163" s="111"/>
      <c r="E163" s="111"/>
      <c r="F163" s="111"/>
      <c r="G163" s="111"/>
      <c r="H163" s="111"/>
      <c r="I163" s="111"/>
      <c r="J163" s="111"/>
      <c r="K163" s="111"/>
      <c r="L163" s="111"/>
      <c r="M163" s="111"/>
      <c r="N163" s="111"/>
      <c r="O163" s="111"/>
      <c r="P163" s="111"/>
      <c r="Q163" s="111"/>
      <c r="R163" s="111"/>
      <c r="S163" s="111"/>
    </row>
    <row r="164" spans="2:19">
      <c r="B164" s="111"/>
      <c r="C164" s="111"/>
      <c r="D164" s="111"/>
      <c r="E164" s="111"/>
      <c r="F164" s="111"/>
      <c r="G164" s="111"/>
      <c r="H164" s="111"/>
      <c r="I164" s="111"/>
      <c r="J164" s="111"/>
      <c r="K164" s="111"/>
      <c r="L164" s="111"/>
      <c r="M164" s="111"/>
      <c r="N164" s="111"/>
      <c r="O164" s="111"/>
      <c r="P164" s="111"/>
      <c r="Q164" s="111"/>
      <c r="R164" s="111"/>
      <c r="S164" s="111"/>
    </row>
    <row r="165" spans="2:19">
      <c r="B165" s="111"/>
      <c r="C165" s="111"/>
      <c r="D165" s="111"/>
      <c r="E165" s="111"/>
      <c r="F165" s="111"/>
      <c r="G165" s="111"/>
      <c r="H165" s="111"/>
      <c r="I165" s="111"/>
      <c r="J165" s="111"/>
      <c r="K165" s="111"/>
      <c r="L165" s="111"/>
      <c r="M165" s="111"/>
      <c r="N165" s="111"/>
      <c r="O165" s="111"/>
      <c r="P165" s="111"/>
      <c r="Q165" s="111"/>
      <c r="R165" s="111"/>
      <c r="S165" s="111"/>
    </row>
    <row r="166" spans="2:19">
      <c r="B166" s="111"/>
      <c r="C166" s="111"/>
      <c r="D166" s="111"/>
      <c r="E166" s="111"/>
      <c r="F166" s="111"/>
      <c r="G166" s="111"/>
      <c r="H166" s="111"/>
      <c r="I166" s="111"/>
      <c r="J166" s="111"/>
      <c r="K166" s="111"/>
      <c r="L166" s="111"/>
      <c r="M166" s="111"/>
      <c r="N166" s="111"/>
      <c r="O166" s="111"/>
      <c r="P166" s="111"/>
      <c r="Q166" s="111"/>
      <c r="R166" s="111"/>
      <c r="S166" s="111"/>
    </row>
    <row r="167" spans="2:19">
      <c r="B167" s="111"/>
      <c r="C167" s="111"/>
      <c r="D167" s="111"/>
      <c r="E167" s="111"/>
      <c r="F167" s="111"/>
      <c r="G167" s="111"/>
      <c r="H167" s="111"/>
      <c r="I167" s="111"/>
      <c r="J167" s="111"/>
      <c r="K167" s="111"/>
      <c r="L167" s="111"/>
      <c r="M167" s="111"/>
      <c r="N167" s="111"/>
      <c r="O167" s="111"/>
      <c r="P167" s="111"/>
      <c r="Q167" s="111"/>
      <c r="R167" s="111"/>
      <c r="S167" s="111"/>
    </row>
    <row r="168" spans="2:19">
      <c r="B168" s="111"/>
      <c r="C168" s="111"/>
      <c r="D168" s="111"/>
      <c r="E168" s="111"/>
      <c r="F168" s="111"/>
      <c r="G168" s="111"/>
      <c r="H168" s="111"/>
      <c r="I168" s="111"/>
      <c r="J168" s="111"/>
      <c r="K168" s="111"/>
      <c r="L168" s="111"/>
      <c r="M168" s="111"/>
      <c r="N168" s="111"/>
      <c r="O168" s="111"/>
      <c r="P168" s="111"/>
      <c r="Q168" s="111"/>
      <c r="R168" s="111"/>
      <c r="S168" s="111"/>
    </row>
    <row r="169" spans="2:19">
      <c r="B169" s="111"/>
      <c r="C169" s="111"/>
      <c r="D169" s="111"/>
      <c r="E169" s="111"/>
      <c r="F169" s="111"/>
      <c r="G169" s="111"/>
      <c r="H169" s="111"/>
      <c r="I169" s="111"/>
      <c r="J169" s="111"/>
      <c r="K169" s="111"/>
      <c r="L169" s="111"/>
      <c r="M169" s="111"/>
      <c r="N169" s="111"/>
      <c r="O169" s="111"/>
      <c r="P169" s="111"/>
      <c r="Q169" s="111"/>
      <c r="R169" s="111"/>
      <c r="S169" s="111"/>
    </row>
    <row r="170" spans="2:19">
      <c r="B170" s="111"/>
      <c r="C170" s="111"/>
      <c r="D170" s="111"/>
      <c r="E170" s="111"/>
      <c r="F170" s="111"/>
      <c r="G170" s="111"/>
      <c r="H170" s="111"/>
      <c r="I170" s="111"/>
      <c r="J170" s="111"/>
      <c r="K170" s="111"/>
      <c r="L170" s="111"/>
      <c r="M170" s="111"/>
      <c r="N170" s="111"/>
      <c r="O170" s="111"/>
      <c r="P170" s="111"/>
      <c r="Q170" s="111"/>
      <c r="R170" s="111"/>
      <c r="S170" s="111"/>
    </row>
    <row r="171" spans="2:19">
      <c r="B171" s="111"/>
      <c r="C171" s="111"/>
      <c r="D171" s="111"/>
      <c r="E171" s="111"/>
      <c r="F171" s="111"/>
      <c r="G171" s="111"/>
      <c r="H171" s="111"/>
      <c r="I171" s="111"/>
      <c r="J171" s="111"/>
      <c r="K171" s="111"/>
      <c r="L171" s="111"/>
      <c r="M171" s="111"/>
      <c r="N171" s="111"/>
      <c r="O171" s="111"/>
      <c r="P171" s="111"/>
      <c r="Q171" s="111"/>
      <c r="R171" s="111"/>
      <c r="S171" s="111"/>
    </row>
    <row r="172" spans="2:19">
      <c r="B172" s="111"/>
      <c r="C172" s="111"/>
      <c r="D172" s="111"/>
      <c r="E172" s="111"/>
      <c r="F172" s="111"/>
      <c r="G172" s="111"/>
      <c r="H172" s="111"/>
      <c r="I172" s="111"/>
      <c r="J172" s="111"/>
      <c r="K172" s="111"/>
      <c r="L172" s="111"/>
      <c r="M172" s="111"/>
      <c r="N172" s="111"/>
      <c r="O172" s="111"/>
      <c r="P172" s="111"/>
      <c r="Q172" s="111"/>
      <c r="R172" s="111"/>
      <c r="S172" s="111"/>
    </row>
    <row r="173" spans="2:19">
      <c r="B173" s="111"/>
      <c r="C173" s="111"/>
      <c r="D173" s="111"/>
      <c r="E173" s="111"/>
      <c r="F173" s="111"/>
      <c r="G173" s="111"/>
      <c r="H173" s="111"/>
      <c r="I173" s="111"/>
      <c r="J173" s="111"/>
      <c r="K173" s="111"/>
      <c r="L173" s="111"/>
      <c r="M173" s="111"/>
      <c r="N173" s="111"/>
      <c r="O173" s="111"/>
      <c r="P173" s="111"/>
      <c r="Q173" s="111"/>
      <c r="R173" s="111"/>
      <c r="S173" s="111"/>
    </row>
    <row r="174" spans="2:19">
      <c r="B174" s="111"/>
      <c r="C174" s="111"/>
      <c r="D174" s="111"/>
      <c r="E174" s="111"/>
      <c r="F174" s="111"/>
      <c r="G174" s="111"/>
      <c r="H174" s="111"/>
      <c r="I174" s="111"/>
      <c r="J174" s="111"/>
      <c r="K174" s="111"/>
      <c r="L174" s="111"/>
      <c r="M174" s="111"/>
      <c r="N174" s="111"/>
      <c r="O174" s="111"/>
      <c r="P174" s="111"/>
      <c r="Q174" s="111"/>
      <c r="R174" s="111"/>
      <c r="S174" s="111"/>
    </row>
    <row r="175" spans="2:19">
      <c r="B175" s="111"/>
      <c r="C175" s="111"/>
      <c r="D175" s="111"/>
      <c r="E175" s="111"/>
      <c r="F175" s="111"/>
      <c r="G175" s="111"/>
      <c r="H175" s="111"/>
      <c r="I175" s="111"/>
      <c r="J175" s="111"/>
      <c r="K175" s="111"/>
      <c r="L175" s="111"/>
      <c r="M175" s="111"/>
      <c r="N175" s="111"/>
      <c r="O175" s="111"/>
      <c r="P175" s="111"/>
      <c r="Q175" s="111"/>
      <c r="R175" s="111"/>
      <c r="S175" s="111"/>
    </row>
    <row r="176" spans="2:19">
      <c r="B176" s="111"/>
      <c r="C176" s="111"/>
      <c r="D176" s="111"/>
      <c r="E176" s="111"/>
      <c r="F176" s="111"/>
      <c r="G176" s="111"/>
      <c r="H176" s="111"/>
      <c r="I176" s="111"/>
      <c r="J176" s="111"/>
      <c r="K176" s="111"/>
      <c r="L176" s="111"/>
      <c r="M176" s="111"/>
      <c r="N176" s="111"/>
      <c r="O176" s="111"/>
      <c r="P176" s="111"/>
      <c r="Q176" s="111"/>
      <c r="R176" s="111"/>
      <c r="S176" s="111"/>
    </row>
    <row r="177" spans="2:19">
      <c r="B177" s="111"/>
      <c r="C177" s="111"/>
      <c r="D177" s="111"/>
      <c r="E177" s="111"/>
      <c r="F177" s="111"/>
      <c r="G177" s="111"/>
      <c r="H177" s="111"/>
      <c r="I177" s="111"/>
      <c r="J177" s="111"/>
      <c r="K177" s="111"/>
      <c r="L177" s="111"/>
      <c r="M177" s="111"/>
      <c r="N177" s="111"/>
      <c r="O177" s="111"/>
      <c r="P177" s="111"/>
      <c r="Q177" s="111"/>
      <c r="R177" s="111"/>
      <c r="S177" s="111"/>
    </row>
    <row r="178" spans="2:19">
      <c r="B178" s="111"/>
      <c r="C178" s="111"/>
      <c r="D178" s="111"/>
      <c r="E178" s="111"/>
      <c r="F178" s="111"/>
      <c r="G178" s="111"/>
      <c r="H178" s="111"/>
      <c r="I178" s="111"/>
      <c r="J178" s="111"/>
      <c r="K178" s="111"/>
      <c r="L178" s="111"/>
      <c r="M178" s="111"/>
      <c r="N178" s="111"/>
      <c r="O178" s="111"/>
      <c r="P178" s="111"/>
      <c r="Q178" s="111"/>
      <c r="R178" s="111"/>
      <c r="S178" s="111"/>
    </row>
    <row r="179" spans="2:19">
      <c r="B179" s="111"/>
      <c r="C179" s="111"/>
      <c r="D179" s="111"/>
      <c r="E179" s="111"/>
      <c r="F179" s="111"/>
      <c r="G179" s="111"/>
      <c r="H179" s="111"/>
      <c r="I179" s="111"/>
      <c r="J179" s="111"/>
      <c r="K179" s="111"/>
      <c r="L179" s="111"/>
      <c r="M179" s="111"/>
      <c r="N179" s="111"/>
      <c r="O179" s="111"/>
      <c r="P179" s="111"/>
      <c r="Q179" s="111"/>
      <c r="R179" s="111"/>
      <c r="S179" s="111"/>
    </row>
    <row r="180" spans="2:19">
      <c r="B180" s="111"/>
      <c r="C180" s="111"/>
      <c r="D180" s="111"/>
      <c r="E180" s="111"/>
      <c r="F180" s="111"/>
      <c r="G180" s="111"/>
      <c r="H180" s="111"/>
      <c r="I180" s="111"/>
      <c r="J180" s="111"/>
      <c r="K180" s="111"/>
      <c r="L180" s="111"/>
      <c r="M180" s="111"/>
      <c r="N180" s="111"/>
      <c r="O180" s="111"/>
      <c r="P180" s="111"/>
      <c r="Q180" s="111"/>
      <c r="R180" s="111"/>
      <c r="S180" s="111"/>
    </row>
    <row r="181" spans="2:19">
      <c r="B181" s="111"/>
      <c r="C181" s="111"/>
      <c r="D181" s="111"/>
      <c r="E181" s="111"/>
      <c r="F181" s="111"/>
      <c r="G181" s="111"/>
      <c r="H181" s="111"/>
      <c r="I181" s="111"/>
      <c r="J181" s="111"/>
      <c r="K181" s="111"/>
      <c r="L181" s="111"/>
      <c r="M181" s="111"/>
      <c r="N181" s="111"/>
      <c r="O181" s="111"/>
      <c r="P181" s="111"/>
      <c r="Q181" s="111"/>
      <c r="R181" s="111"/>
      <c r="S181" s="111"/>
    </row>
    <row r="182" spans="2:19">
      <c r="B182" s="111"/>
      <c r="C182" s="111"/>
      <c r="D182" s="111"/>
      <c r="E182" s="111"/>
      <c r="F182" s="111"/>
      <c r="G182" s="111"/>
      <c r="H182" s="111"/>
      <c r="I182" s="111"/>
      <c r="J182" s="111"/>
      <c r="K182" s="111"/>
      <c r="L182" s="111"/>
      <c r="M182" s="111"/>
      <c r="N182" s="111"/>
      <c r="O182" s="111"/>
      <c r="P182" s="111"/>
      <c r="Q182" s="111"/>
      <c r="R182" s="111"/>
      <c r="S182" s="111"/>
    </row>
    <row r="183" spans="2:19">
      <c r="B183" s="111"/>
      <c r="C183" s="111"/>
      <c r="D183" s="111"/>
      <c r="E183" s="111"/>
      <c r="F183" s="111"/>
      <c r="G183" s="111"/>
      <c r="H183" s="111"/>
      <c r="I183" s="111"/>
      <c r="J183" s="111"/>
      <c r="K183" s="111"/>
      <c r="L183" s="111"/>
      <c r="M183" s="111"/>
      <c r="N183" s="111"/>
      <c r="O183" s="111"/>
      <c r="P183" s="111"/>
      <c r="Q183" s="111"/>
      <c r="R183" s="111"/>
      <c r="S183" s="111"/>
    </row>
    <row r="184" spans="2:19">
      <c r="B184" s="111"/>
      <c r="C184" s="111"/>
      <c r="D184" s="111"/>
      <c r="E184" s="111"/>
      <c r="F184" s="111"/>
      <c r="G184" s="111"/>
      <c r="H184" s="111"/>
      <c r="I184" s="111"/>
      <c r="J184" s="111"/>
      <c r="K184" s="111"/>
      <c r="L184" s="111"/>
      <c r="M184" s="111"/>
      <c r="N184" s="111"/>
      <c r="O184" s="111"/>
      <c r="P184" s="111"/>
      <c r="Q184" s="111"/>
      <c r="R184" s="111"/>
      <c r="S184" s="111"/>
    </row>
    <row r="185" spans="2:19">
      <c r="B185" s="111"/>
      <c r="C185" s="111"/>
      <c r="D185" s="111"/>
      <c r="E185" s="111"/>
      <c r="F185" s="111"/>
      <c r="G185" s="111"/>
      <c r="H185" s="111"/>
      <c r="I185" s="111"/>
      <c r="J185" s="111"/>
      <c r="K185" s="111"/>
      <c r="L185" s="111"/>
      <c r="M185" s="111"/>
      <c r="N185" s="111"/>
      <c r="O185" s="111"/>
      <c r="P185" s="111"/>
      <c r="Q185" s="111"/>
      <c r="R185" s="111"/>
      <c r="S185" s="111"/>
    </row>
    <row r="186" spans="2:19">
      <c r="B186" s="111"/>
      <c r="C186" s="111"/>
      <c r="D186" s="111"/>
      <c r="E186" s="111"/>
      <c r="F186" s="111"/>
      <c r="G186" s="111"/>
      <c r="H186" s="111"/>
      <c r="I186" s="111"/>
      <c r="J186" s="111"/>
      <c r="K186" s="111"/>
      <c r="L186" s="111"/>
      <c r="M186" s="111"/>
      <c r="N186" s="111"/>
      <c r="O186" s="111"/>
      <c r="P186" s="111"/>
      <c r="Q186" s="111"/>
      <c r="R186" s="111"/>
      <c r="S186" s="111"/>
    </row>
    <row r="187" spans="2:19">
      <c r="B187" s="111"/>
      <c r="C187" s="111"/>
      <c r="D187" s="111"/>
      <c r="E187" s="111"/>
      <c r="F187" s="111"/>
      <c r="G187" s="111"/>
      <c r="H187" s="111"/>
      <c r="I187" s="111"/>
      <c r="J187" s="111"/>
      <c r="K187" s="111"/>
      <c r="L187" s="111"/>
      <c r="M187" s="111"/>
      <c r="N187" s="111"/>
      <c r="O187" s="111"/>
      <c r="P187" s="111"/>
      <c r="Q187" s="111"/>
      <c r="R187" s="111"/>
      <c r="S187" s="111"/>
    </row>
    <row r="188" spans="2:19">
      <c r="B188" s="111"/>
      <c r="C188" s="111"/>
      <c r="D188" s="111"/>
      <c r="E188" s="111"/>
      <c r="F188" s="111"/>
      <c r="G188" s="111"/>
      <c r="H188" s="111"/>
      <c r="I188" s="111"/>
      <c r="J188" s="111"/>
      <c r="K188" s="111"/>
      <c r="L188" s="111"/>
      <c r="M188" s="111"/>
      <c r="N188" s="111"/>
      <c r="O188" s="111"/>
      <c r="P188" s="111"/>
      <c r="Q188" s="111"/>
      <c r="R188" s="111"/>
      <c r="S188" s="111"/>
    </row>
    <row r="189" spans="2:19">
      <c r="B189" s="111"/>
      <c r="C189" s="111"/>
      <c r="D189" s="111"/>
      <c r="E189" s="111"/>
      <c r="F189" s="111"/>
      <c r="G189" s="111"/>
      <c r="H189" s="111"/>
      <c r="I189" s="111"/>
      <c r="J189" s="111"/>
      <c r="K189" s="111"/>
      <c r="L189" s="111"/>
      <c r="M189" s="111"/>
      <c r="N189" s="111"/>
      <c r="O189" s="111"/>
      <c r="P189" s="111"/>
      <c r="Q189" s="111"/>
      <c r="R189" s="111"/>
      <c r="S189" s="111"/>
    </row>
    <row r="190" spans="2:19">
      <c r="B190" s="111"/>
      <c r="C190" s="111"/>
      <c r="D190" s="111"/>
      <c r="E190" s="111"/>
      <c r="F190" s="111"/>
      <c r="G190" s="111"/>
      <c r="H190" s="111"/>
      <c r="I190" s="111"/>
      <c r="J190" s="111"/>
      <c r="K190" s="111"/>
      <c r="L190" s="111"/>
      <c r="M190" s="111"/>
      <c r="N190" s="111"/>
      <c r="O190" s="111"/>
      <c r="P190" s="111"/>
      <c r="Q190" s="111"/>
      <c r="R190" s="111"/>
      <c r="S190" s="111"/>
    </row>
    <row r="191" spans="2:19">
      <c r="B191" s="111"/>
      <c r="C191" s="111"/>
      <c r="D191" s="111"/>
      <c r="E191" s="111"/>
      <c r="F191" s="111"/>
      <c r="G191" s="111"/>
      <c r="H191" s="111"/>
      <c r="I191" s="111"/>
      <c r="J191" s="111"/>
      <c r="K191" s="111"/>
      <c r="L191" s="111"/>
      <c r="M191" s="111"/>
      <c r="N191" s="111"/>
      <c r="O191" s="111"/>
      <c r="P191" s="111"/>
      <c r="Q191" s="111"/>
      <c r="R191" s="111"/>
      <c r="S191" s="111"/>
    </row>
    <row r="192" spans="2:19">
      <c r="B192" s="111"/>
      <c r="C192" s="111"/>
      <c r="D192" s="111"/>
      <c r="E192" s="111"/>
      <c r="F192" s="111"/>
      <c r="G192" s="111"/>
      <c r="H192" s="111"/>
      <c r="I192" s="111"/>
      <c r="J192" s="111"/>
      <c r="K192" s="111"/>
      <c r="L192" s="111"/>
      <c r="M192" s="111"/>
      <c r="N192" s="111"/>
      <c r="O192" s="111"/>
      <c r="P192" s="111"/>
      <c r="Q192" s="111"/>
      <c r="R192" s="111"/>
      <c r="S192" s="111"/>
    </row>
    <row r="193" spans="2:19">
      <c r="B193" s="111"/>
      <c r="C193" s="111"/>
      <c r="D193" s="111"/>
      <c r="E193" s="111"/>
      <c r="F193" s="111"/>
      <c r="G193" s="111"/>
      <c r="H193" s="111"/>
      <c r="I193" s="111"/>
      <c r="J193" s="111"/>
      <c r="K193" s="111"/>
      <c r="L193" s="111"/>
      <c r="M193" s="111"/>
      <c r="N193" s="111"/>
      <c r="O193" s="111"/>
      <c r="P193" s="111"/>
      <c r="Q193" s="111"/>
      <c r="R193" s="111"/>
      <c r="S193" s="111"/>
    </row>
    <row r="194" spans="2:19">
      <c r="B194" s="111"/>
      <c r="C194" s="111"/>
      <c r="D194" s="111"/>
      <c r="E194" s="111"/>
      <c r="F194" s="111"/>
      <c r="G194" s="111"/>
      <c r="H194" s="111"/>
      <c r="I194" s="111"/>
      <c r="J194" s="111"/>
      <c r="K194" s="111"/>
      <c r="L194" s="111"/>
      <c r="M194" s="111"/>
      <c r="N194" s="111"/>
      <c r="O194" s="111"/>
      <c r="P194" s="111"/>
      <c r="Q194" s="111"/>
      <c r="R194" s="111"/>
      <c r="S194" s="111"/>
    </row>
    <row r="195" spans="2:19">
      <c r="B195" s="111"/>
      <c r="C195" s="111"/>
      <c r="D195" s="111"/>
      <c r="E195" s="111"/>
      <c r="F195" s="111"/>
      <c r="G195" s="111"/>
      <c r="H195" s="111"/>
      <c r="I195" s="111"/>
      <c r="J195" s="111"/>
      <c r="K195" s="111"/>
      <c r="L195" s="111"/>
      <c r="M195" s="111"/>
      <c r="N195" s="111"/>
      <c r="O195" s="111"/>
      <c r="P195" s="111"/>
      <c r="Q195" s="111"/>
      <c r="R195" s="111"/>
      <c r="S195" s="111"/>
    </row>
    <row r="196" spans="2:19">
      <c r="B196" s="111"/>
      <c r="C196" s="111"/>
      <c r="D196" s="111"/>
      <c r="E196" s="111"/>
      <c r="F196" s="111"/>
      <c r="G196" s="111"/>
      <c r="H196" s="111"/>
      <c r="I196" s="111"/>
      <c r="J196" s="111"/>
      <c r="K196" s="111"/>
      <c r="L196" s="111"/>
      <c r="M196" s="111"/>
      <c r="N196" s="111"/>
      <c r="O196" s="111"/>
      <c r="P196" s="111"/>
      <c r="Q196" s="111"/>
      <c r="R196" s="111"/>
      <c r="S196" s="111"/>
    </row>
    <row r="197" spans="2:19">
      <c r="B197" s="111"/>
      <c r="C197" s="111"/>
      <c r="D197" s="111"/>
      <c r="E197" s="111"/>
      <c r="F197" s="111"/>
      <c r="G197" s="111"/>
      <c r="H197" s="111"/>
      <c r="I197" s="111"/>
      <c r="J197" s="111"/>
      <c r="K197" s="111"/>
      <c r="L197" s="111"/>
      <c r="M197" s="111"/>
      <c r="N197" s="111"/>
      <c r="O197" s="111"/>
      <c r="P197" s="111"/>
      <c r="Q197" s="111"/>
      <c r="R197" s="111"/>
      <c r="S197" s="111"/>
    </row>
    <row r="198" spans="2:19">
      <c r="B198" s="111"/>
      <c r="C198" s="111"/>
      <c r="D198" s="111"/>
      <c r="E198" s="111"/>
      <c r="F198" s="111"/>
      <c r="G198" s="111"/>
      <c r="H198" s="111"/>
      <c r="I198" s="111"/>
      <c r="J198" s="111"/>
      <c r="K198" s="111"/>
      <c r="L198" s="111"/>
      <c r="M198" s="111"/>
      <c r="N198" s="111"/>
      <c r="O198" s="111"/>
      <c r="P198" s="111"/>
      <c r="Q198" s="111"/>
      <c r="R198" s="111"/>
      <c r="S198" s="111"/>
    </row>
    <row r="199" spans="2:19">
      <c r="B199" s="111"/>
      <c r="C199" s="111"/>
      <c r="D199" s="111"/>
      <c r="E199" s="111"/>
      <c r="F199" s="111"/>
      <c r="G199" s="111"/>
      <c r="H199" s="111"/>
      <c r="I199" s="111"/>
      <c r="J199" s="111"/>
      <c r="K199" s="111"/>
      <c r="L199" s="111"/>
      <c r="M199" s="111"/>
      <c r="N199" s="111"/>
      <c r="O199" s="111"/>
      <c r="P199" s="111"/>
      <c r="Q199" s="111"/>
      <c r="R199" s="111"/>
      <c r="S199" s="111"/>
    </row>
    <row r="200" spans="2:19">
      <c r="B200" s="111"/>
      <c r="C200" s="111"/>
      <c r="D200" s="111"/>
      <c r="E200" s="111"/>
      <c r="F200" s="111"/>
      <c r="G200" s="111"/>
      <c r="H200" s="111"/>
      <c r="I200" s="111"/>
      <c r="J200" s="111"/>
      <c r="K200" s="111"/>
      <c r="L200" s="111"/>
      <c r="M200" s="111"/>
      <c r="N200" s="111"/>
      <c r="O200" s="111"/>
      <c r="P200" s="111"/>
      <c r="Q200" s="111"/>
      <c r="R200" s="111"/>
      <c r="S200" s="111"/>
    </row>
    <row r="201" spans="2:19">
      <c r="B201" s="111"/>
      <c r="C201" s="111"/>
      <c r="D201" s="111"/>
      <c r="E201" s="111"/>
      <c r="F201" s="111"/>
      <c r="G201" s="111"/>
      <c r="H201" s="111"/>
      <c r="I201" s="111"/>
      <c r="J201" s="111"/>
      <c r="K201" s="111"/>
      <c r="L201" s="111"/>
      <c r="M201" s="111"/>
      <c r="N201" s="111"/>
      <c r="O201" s="111"/>
      <c r="P201" s="111"/>
      <c r="Q201" s="111"/>
      <c r="R201" s="111"/>
      <c r="S201" s="111"/>
    </row>
    <row r="202" spans="2:19">
      <c r="B202" s="111"/>
      <c r="C202" s="111"/>
      <c r="D202" s="111"/>
      <c r="E202" s="111"/>
      <c r="F202" s="111"/>
      <c r="G202" s="111"/>
      <c r="H202" s="111"/>
      <c r="I202" s="111"/>
      <c r="J202" s="111"/>
      <c r="K202" s="111"/>
      <c r="L202" s="111"/>
      <c r="M202" s="111"/>
      <c r="N202" s="111"/>
      <c r="O202" s="111"/>
      <c r="P202" s="111"/>
      <c r="Q202" s="111"/>
      <c r="R202" s="111"/>
      <c r="S202" s="111"/>
    </row>
    <row r="203" spans="2:19">
      <c r="B203" s="111"/>
      <c r="C203" s="111"/>
      <c r="D203" s="111"/>
      <c r="E203" s="111"/>
      <c r="F203" s="111"/>
      <c r="G203" s="111"/>
      <c r="H203" s="111"/>
      <c r="I203" s="111"/>
      <c r="J203" s="111"/>
      <c r="K203" s="111"/>
      <c r="L203" s="111"/>
      <c r="M203" s="111"/>
      <c r="N203" s="111"/>
      <c r="O203" s="111"/>
      <c r="P203" s="111"/>
      <c r="Q203" s="111"/>
      <c r="R203" s="111"/>
      <c r="S203" s="111"/>
    </row>
    <row r="204" spans="2:19">
      <c r="B204" s="111"/>
      <c r="C204" s="111"/>
      <c r="D204" s="111"/>
      <c r="E204" s="111"/>
      <c r="F204" s="111"/>
      <c r="G204" s="111"/>
      <c r="H204" s="111"/>
      <c r="I204" s="111"/>
      <c r="J204" s="111"/>
      <c r="K204" s="111"/>
      <c r="L204" s="111"/>
      <c r="M204" s="111"/>
      <c r="N204" s="111"/>
      <c r="O204" s="111"/>
      <c r="P204" s="111"/>
      <c r="Q204" s="111"/>
      <c r="R204" s="111"/>
      <c r="S204" s="111"/>
    </row>
    <row r="205" spans="2:19">
      <c r="B205" s="111"/>
      <c r="C205" s="111"/>
      <c r="D205" s="111"/>
      <c r="E205" s="111"/>
      <c r="F205" s="111"/>
      <c r="G205" s="111"/>
      <c r="H205" s="111"/>
      <c r="I205" s="111"/>
      <c r="J205" s="111"/>
      <c r="K205" s="111"/>
      <c r="L205" s="111"/>
      <c r="M205" s="111"/>
      <c r="N205" s="111"/>
      <c r="O205" s="111"/>
      <c r="P205" s="111"/>
      <c r="Q205" s="111"/>
      <c r="R205" s="111"/>
      <c r="S205" s="111"/>
    </row>
    <row r="206" spans="2:19">
      <c r="B206" s="111"/>
      <c r="C206" s="111"/>
      <c r="D206" s="111"/>
      <c r="E206" s="111"/>
      <c r="F206" s="111"/>
      <c r="G206" s="111"/>
      <c r="H206" s="111"/>
      <c r="I206" s="111"/>
      <c r="J206" s="111"/>
      <c r="K206" s="111"/>
      <c r="L206" s="111"/>
      <c r="M206" s="111"/>
      <c r="N206" s="111"/>
      <c r="O206" s="111"/>
      <c r="P206" s="111"/>
      <c r="Q206" s="111"/>
      <c r="R206" s="111"/>
      <c r="S206" s="111"/>
    </row>
    <row r="207" spans="2:19">
      <c r="B207" s="111"/>
      <c r="C207" s="111"/>
      <c r="D207" s="111"/>
      <c r="E207" s="111"/>
      <c r="F207" s="111"/>
      <c r="G207" s="111"/>
      <c r="H207" s="111"/>
      <c r="I207" s="111"/>
      <c r="J207" s="111"/>
      <c r="K207" s="111"/>
      <c r="L207" s="111"/>
      <c r="M207" s="111"/>
      <c r="N207" s="111"/>
      <c r="O207" s="111"/>
      <c r="P207" s="111"/>
      <c r="Q207" s="111"/>
      <c r="R207" s="111"/>
      <c r="S207" s="111"/>
    </row>
    <row r="208" spans="2:19">
      <c r="B208" s="111"/>
      <c r="C208" s="111"/>
      <c r="D208" s="111"/>
      <c r="E208" s="111"/>
      <c r="F208" s="111"/>
      <c r="G208" s="111"/>
      <c r="H208" s="111"/>
      <c r="I208" s="111"/>
      <c r="J208" s="111"/>
      <c r="K208" s="111"/>
      <c r="L208" s="111"/>
      <c r="M208" s="111"/>
      <c r="N208" s="111"/>
      <c r="O208" s="111"/>
      <c r="P208" s="111"/>
      <c r="Q208" s="111"/>
      <c r="R208" s="111"/>
      <c r="S208" s="111"/>
    </row>
    <row r="209" spans="2:19">
      <c r="B209" s="111"/>
      <c r="C209" s="111"/>
      <c r="D209" s="111"/>
      <c r="E209" s="111"/>
      <c r="F209" s="111"/>
      <c r="G209" s="111"/>
      <c r="H209" s="111"/>
      <c r="I209" s="111"/>
      <c r="J209" s="111"/>
      <c r="K209" s="111"/>
      <c r="L209" s="111"/>
      <c r="M209" s="111"/>
      <c r="N209" s="111"/>
      <c r="O209" s="111"/>
      <c r="P209" s="111"/>
      <c r="Q209" s="111"/>
      <c r="R209" s="111"/>
      <c r="S209" s="111"/>
    </row>
    <row r="210" spans="2:19">
      <c r="B210" s="111"/>
      <c r="C210" s="111"/>
      <c r="D210" s="111"/>
      <c r="E210" s="111"/>
      <c r="F210" s="111"/>
      <c r="G210" s="111"/>
      <c r="H210" s="111"/>
      <c r="I210" s="111"/>
      <c r="J210" s="111"/>
      <c r="K210" s="111"/>
      <c r="L210" s="111"/>
      <c r="M210" s="111"/>
      <c r="N210" s="111"/>
      <c r="O210" s="111"/>
      <c r="P210" s="111"/>
      <c r="Q210" s="111"/>
      <c r="R210" s="111"/>
      <c r="S210" s="111"/>
    </row>
    <row r="211" spans="2:19">
      <c r="B211" s="111"/>
      <c r="C211" s="111"/>
      <c r="D211" s="111"/>
      <c r="E211" s="111"/>
      <c r="F211" s="111"/>
      <c r="G211" s="111"/>
      <c r="H211" s="111"/>
      <c r="I211" s="111"/>
      <c r="J211" s="111"/>
      <c r="K211" s="111"/>
      <c r="L211" s="111"/>
      <c r="M211" s="111"/>
      <c r="N211" s="111"/>
      <c r="O211" s="111"/>
      <c r="P211" s="111"/>
      <c r="Q211" s="111"/>
      <c r="R211" s="111"/>
      <c r="S211" s="111"/>
    </row>
    <row r="212" spans="2:19">
      <c r="B212" s="111"/>
      <c r="C212" s="111"/>
      <c r="D212" s="111"/>
      <c r="E212" s="111"/>
      <c r="F212" s="111"/>
      <c r="G212" s="111"/>
      <c r="H212" s="111"/>
      <c r="I212" s="111"/>
      <c r="J212" s="111"/>
      <c r="K212" s="111"/>
      <c r="L212" s="111"/>
      <c r="M212" s="111"/>
      <c r="N212" s="111"/>
      <c r="O212" s="111"/>
      <c r="P212" s="111"/>
      <c r="Q212" s="111"/>
      <c r="R212" s="111"/>
      <c r="S212" s="111"/>
    </row>
    <row r="213" spans="2:19">
      <c r="B213" s="111"/>
      <c r="C213" s="111"/>
      <c r="D213" s="111"/>
      <c r="E213" s="111"/>
      <c r="F213" s="111"/>
      <c r="G213" s="111"/>
      <c r="H213" s="111"/>
      <c r="I213" s="111"/>
      <c r="J213" s="111"/>
      <c r="K213" s="111"/>
      <c r="L213" s="111"/>
      <c r="M213" s="111"/>
      <c r="N213" s="111"/>
      <c r="O213" s="111"/>
      <c r="P213" s="111"/>
      <c r="Q213" s="111"/>
      <c r="R213" s="111"/>
      <c r="S213" s="111"/>
    </row>
    <row r="214" spans="2:19">
      <c r="B214" s="111"/>
      <c r="C214" s="111"/>
      <c r="D214" s="111"/>
      <c r="E214" s="111"/>
      <c r="F214" s="111"/>
      <c r="G214" s="111"/>
      <c r="H214" s="111"/>
      <c r="I214" s="111"/>
      <c r="J214" s="111"/>
      <c r="K214" s="111"/>
      <c r="L214" s="111"/>
      <c r="M214" s="111"/>
      <c r="N214" s="111"/>
      <c r="O214" s="111"/>
      <c r="P214" s="111"/>
      <c r="Q214" s="111"/>
      <c r="R214" s="111"/>
      <c r="S214" s="111"/>
    </row>
    <row r="215" spans="2:19">
      <c r="B215" s="111"/>
      <c r="C215" s="111"/>
      <c r="D215" s="111"/>
      <c r="E215" s="111"/>
      <c r="F215" s="111"/>
      <c r="G215" s="111"/>
      <c r="H215" s="111"/>
      <c r="I215" s="111"/>
      <c r="J215" s="111"/>
      <c r="K215" s="111"/>
      <c r="L215" s="111"/>
      <c r="M215" s="111"/>
      <c r="N215" s="111"/>
      <c r="O215" s="111"/>
      <c r="P215" s="111"/>
      <c r="Q215" s="111"/>
      <c r="R215" s="111"/>
      <c r="S215" s="111"/>
    </row>
    <row r="216" spans="2:19">
      <c r="B216" s="111"/>
      <c r="C216" s="111"/>
      <c r="D216" s="111"/>
      <c r="E216" s="111"/>
      <c r="F216" s="111"/>
      <c r="G216" s="111"/>
      <c r="H216" s="111"/>
      <c r="I216" s="111"/>
      <c r="J216" s="111"/>
      <c r="K216" s="111"/>
      <c r="L216" s="111"/>
      <c r="M216" s="111"/>
      <c r="N216" s="111"/>
      <c r="O216" s="111"/>
      <c r="P216" s="111"/>
      <c r="Q216" s="111"/>
      <c r="R216" s="111"/>
      <c r="S216" s="111"/>
    </row>
    <row r="217" spans="2:19">
      <c r="B217" s="111"/>
      <c r="C217" s="111"/>
      <c r="D217" s="111"/>
      <c r="E217" s="111"/>
      <c r="F217" s="111"/>
      <c r="G217" s="111"/>
      <c r="H217" s="111"/>
      <c r="I217" s="111"/>
      <c r="J217" s="111"/>
      <c r="K217" s="111"/>
      <c r="L217" s="111"/>
      <c r="M217" s="111"/>
      <c r="N217" s="111"/>
      <c r="O217" s="111"/>
      <c r="P217" s="111"/>
      <c r="Q217" s="111"/>
      <c r="R217" s="111"/>
      <c r="S217" s="111"/>
    </row>
    <row r="218" spans="2:19">
      <c r="B218" s="111"/>
      <c r="C218" s="111"/>
      <c r="D218" s="111"/>
      <c r="E218" s="111"/>
      <c r="F218" s="111"/>
      <c r="G218" s="111"/>
      <c r="H218" s="111"/>
      <c r="I218" s="111"/>
      <c r="J218" s="111"/>
      <c r="K218" s="111"/>
      <c r="L218" s="111"/>
      <c r="M218" s="111"/>
      <c r="N218" s="111"/>
      <c r="O218" s="111"/>
      <c r="P218" s="111"/>
      <c r="Q218" s="111"/>
      <c r="R218" s="111"/>
      <c r="S218" s="111"/>
    </row>
    <row r="219" spans="2:19">
      <c r="B219" s="111"/>
      <c r="C219" s="111"/>
      <c r="D219" s="111"/>
      <c r="E219" s="111"/>
      <c r="F219" s="111"/>
      <c r="G219" s="111"/>
      <c r="H219" s="111"/>
      <c r="I219" s="111"/>
      <c r="J219" s="111"/>
      <c r="K219" s="111"/>
      <c r="L219" s="111"/>
      <c r="M219" s="111"/>
      <c r="N219" s="111"/>
      <c r="O219" s="111"/>
      <c r="P219" s="111"/>
      <c r="Q219" s="111"/>
      <c r="R219" s="111"/>
      <c r="S219" s="111"/>
    </row>
    <row r="220" spans="2:19">
      <c r="B220" s="111"/>
      <c r="C220" s="111"/>
      <c r="D220" s="111"/>
      <c r="E220" s="111"/>
      <c r="F220" s="111"/>
      <c r="G220" s="111"/>
      <c r="H220" s="111"/>
      <c r="I220" s="111"/>
      <c r="J220" s="111"/>
      <c r="K220" s="111"/>
      <c r="L220" s="111"/>
      <c r="M220" s="111"/>
      <c r="N220" s="111"/>
      <c r="O220" s="111"/>
      <c r="P220" s="111"/>
      <c r="Q220" s="111"/>
      <c r="R220" s="111"/>
      <c r="S220" s="111"/>
    </row>
    <row r="221" spans="2:19">
      <c r="B221" s="111"/>
      <c r="C221" s="111"/>
      <c r="D221" s="111"/>
      <c r="E221" s="111"/>
      <c r="F221" s="111"/>
      <c r="G221" s="111"/>
      <c r="H221" s="111"/>
      <c r="I221" s="111"/>
      <c r="J221" s="111"/>
      <c r="K221" s="111"/>
      <c r="L221" s="111"/>
      <c r="M221" s="111"/>
      <c r="N221" s="111"/>
      <c r="O221" s="111"/>
      <c r="P221" s="111"/>
      <c r="Q221" s="111"/>
      <c r="R221" s="111"/>
      <c r="S221" s="111"/>
    </row>
    <row r="222" spans="2:19">
      <c r="B222" s="111"/>
      <c r="C222" s="111"/>
      <c r="D222" s="111"/>
      <c r="E222" s="111"/>
      <c r="F222" s="111"/>
      <c r="G222" s="111"/>
      <c r="H222" s="111"/>
      <c r="I222" s="111"/>
      <c r="J222" s="111"/>
      <c r="K222" s="111"/>
      <c r="L222" s="111"/>
      <c r="M222" s="111"/>
      <c r="N222" s="111"/>
      <c r="O222" s="111"/>
      <c r="P222" s="111"/>
      <c r="Q222" s="111"/>
      <c r="R222" s="111"/>
      <c r="S222" s="111"/>
    </row>
    <row r="223" spans="2:19">
      <c r="B223" s="111"/>
      <c r="C223" s="111"/>
      <c r="D223" s="111"/>
      <c r="E223" s="111"/>
      <c r="F223" s="111"/>
      <c r="G223" s="111"/>
      <c r="H223" s="111"/>
      <c r="I223" s="111"/>
      <c r="J223" s="111"/>
      <c r="K223" s="111"/>
      <c r="L223" s="111"/>
      <c r="M223" s="111"/>
      <c r="N223" s="111"/>
      <c r="O223" s="111"/>
      <c r="P223" s="111"/>
      <c r="Q223" s="111"/>
      <c r="R223" s="111"/>
      <c r="S223" s="111"/>
    </row>
    <row r="224" spans="2:19">
      <c r="B224" s="111"/>
      <c r="C224" s="111"/>
      <c r="D224" s="111"/>
      <c r="E224" s="111"/>
      <c r="F224" s="111"/>
      <c r="G224" s="111"/>
      <c r="H224" s="111"/>
      <c r="I224" s="111"/>
      <c r="J224" s="111"/>
      <c r="K224" s="111"/>
      <c r="L224" s="111"/>
      <c r="M224" s="111"/>
      <c r="N224" s="111"/>
      <c r="O224" s="111"/>
      <c r="P224" s="111"/>
      <c r="Q224" s="111"/>
      <c r="R224" s="111"/>
      <c r="S224" s="111"/>
    </row>
    <row r="225" spans="2:19">
      <c r="B225" s="111"/>
      <c r="C225" s="111"/>
      <c r="D225" s="111"/>
      <c r="E225" s="111"/>
      <c r="F225" s="111"/>
      <c r="G225" s="111"/>
      <c r="H225" s="111"/>
      <c r="I225" s="111"/>
      <c r="J225" s="111"/>
      <c r="K225" s="111"/>
      <c r="L225" s="111"/>
      <c r="M225" s="111"/>
      <c r="N225" s="111"/>
      <c r="O225" s="111"/>
      <c r="P225" s="111"/>
      <c r="Q225" s="111"/>
      <c r="R225" s="111"/>
      <c r="S225" s="111"/>
    </row>
    <row r="226" spans="2:19">
      <c r="B226" s="111"/>
      <c r="C226" s="111"/>
      <c r="D226" s="111"/>
      <c r="E226" s="111"/>
      <c r="F226" s="111"/>
      <c r="G226" s="111"/>
      <c r="H226" s="111"/>
      <c r="I226" s="111"/>
      <c r="J226" s="111"/>
      <c r="K226" s="111"/>
      <c r="L226" s="111"/>
      <c r="M226" s="111"/>
      <c r="N226" s="111"/>
      <c r="O226" s="111"/>
      <c r="P226" s="111"/>
      <c r="Q226" s="111"/>
      <c r="R226" s="111"/>
      <c r="S226" s="111"/>
    </row>
    <row r="227" spans="2:19">
      <c r="B227" s="111"/>
      <c r="C227" s="111"/>
      <c r="D227" s="111"/>
      <c r="E227" s="111"/>
      <c r="F227" s="111"/>
      <c r="G227" s="111"/>
      <c r="H227" s="111"/>
      <c r="I227" s="111"/>
      <c r="J227" s="111"/>
      <c r="K227" s="111"/>
      <c r="L227" s="111"/>
      <c r="M227" s="111"/>
      <c r="N227" s="111"/>
      <c r="O227" s="111"/>
      <c r="P227" s="111"/>
      <c r="Q227" s="111"/>
      <c r="R227" s="111"/>
      <c r="S227" s="111"/>
    </row>
    <row r="228" spans="2:19">
      <c r="B228" s="111"/>
      <c r="C228" s="111"/>
      <c r="D228" s="111"/>
      <c r="E228" s="111"/>
      <c r="F228" s="111"/>
      <c r="G228" s="111"/>
      <c r="H228" s="111"/>
      <c r="I228" s="111"/>
      <c r="J228" s="111"/>
      <c r="K228" s="111"/>
      <c r="L228" s="111"/>
      <c r="M228" s="111"/>
      <c r="N228" s="111"/>
      <c r="O228" s="111"/>
      <c r="P228" s="111"/>
      <c r="Q228" s="111"/>
      <c r="R228" s="111"/>
      <c r="S228" s="111"/>
    </row>
    <row r="229" spans="2:19">
      <c r="B229" s="111"/>
      <c r="C229" s="111"/>
      <c r="D229" s="111"/>
      <c r="E229" s="111"/>
      <c r="F229" s="111"/>
      <c r="G229" s="111"/>
      <c r="H229" s="111"/>
      <c r="I229" s="111"/>
      <c r="J229" s="111"/>
      <c r="K229" s="111"/>
      <c r="L229" s="111"/>
      <c r="M229" s="111"/>
      <c r="N229" s="111"/>
      <c r="O229" s="111"/>
      <c r="P229" s="111"/>
      <c r="Q229" s="111"/>
      <c r="R229" s="111"/>
      <c r="S229" s="111"/>
    </row>
    <row r="230" spans="2:19">
      <c r="B230" s="111"/>
      <c r="C230" s="111"/>
      <c r="D230" s="111"/>
      <c r="E230" s="111"/>
      <c r="F230" s="111"/>
      <c r="G230" s="111"/>
      <c r="H230" s="111"/>
      <c r="I230" s="111"/>
      <c r="J230" s="111"/>
      <c r="K230" s="111"/>
      <c r="L230" s="111"/>
      <c r="M230" s="111"/>
      <c r="N230" s="111"/>
      <c r="O230" s="111"/>
      <c r="P230" s="111"/>
      <c r="Q230" s="111"/>
      <c r="R230" s="111"/>
      <c r="S230" s="111"/>
    </row>
    <row r="231" spans="2:19">
      <c r="B231" s="111"/>
      <c r="C231" s="111"/>
      <c r="D231" s="111"/>
      <c r="E231" s="111"/>
      <c r="F231" s="111"/>
      <c r="G231" s="111"/>
      <c r="H231" s="111"/>
      <c r="I231" s="111"/>
      <c r="J231" s="111"/>
      <c r="K231" s="111"/>
      <c r="L231" s="111"/>
      <c r="M231" s="111"/>
      <c r="N231" s="111"/>
      <c r="O231" s="111"/>
      <c r="P231" s="111"/>
      <c r="Q231" s="111"/>
      <c r="R231" s="111"/>
      <c r="S231" s="111"/>
    </row>
    <row r="232" spans="2:19">
      <c r="B232" s="111"/>
      <c r="C232" s="111"/>
      <c r="D232" s="111"/>
      <c r="E232" s="111"/>
      <c r="F232" s="111"/>
      <c r="G232" s="111"/>
      <c r="H232" s="111"/>
      <c r="I232" s="111"/>
      <c r="J232" s="111"/>
      <c r="K232" s="111"/>
      <c r="L232" s="111"/>
      <c r="M232" s="111"/>
      <c r="N232" s="111"/>
      <c r="O232" s="111"/>
      <c r="P232" s="111"/>
      <c r="Q232" s="111"/>
      <c r="R232" s="111"/>
      <c r="S232" s="111"/>
    </row>
    <row r="233" spans="2:19">
      <c r="B233" s="111"/>
      <c r="C233" s="111"/>
      <c r="D233" s="111"/>
      <c r="E233" s="111"/>
      <c r="F233" s="111"/>
      <c r="G233" s="111"/>
      <c r="H233" s="111"/>
      <c r="I233" s="111"/>
      <c r="J233" s="111"/>
      <c r="K233" s="111"/>
      <c r="L233" s="111"/>
      <c r="M233" s="111"/>
      <c r="N233" s="111"/>
      <c r="O233" s="111"/>
      <c r="P233" s="111"/>
      <c r="Q233" s="111"/>
      <c r="R233" s="111"/>
      <c r="S233" s="111"/>
    </row>
    <row r="1048554" spans="2:2">
      <c r="B1048554" s="112"/>
    </row>
  </sheetData>
  <autoFilter ref="O1:O1048554" xr:uid="{00000000-0009-0000-0000-000004000000}"/>
  <pageMargins left="0.75" right="0.75" top="1" bottom="1" header="0.5" footer="0.5"/>
  <pageSetup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
  <dimension ref="A1:R181"/>
  <sheetViews>
    <sheetView zoomScale="85" zoomScaleNormal="85" workbookViewId="0">
      <pane xSplit="1" ySplit="1" topLeftCell="H37" activePane="bottomRight" state="frozen"/>
      <selection pane="bottomRight" activeCell="H6" sqref="H6"/>
      <selection pane="bottomLeft" activeCell="A2" sqref="A2"/>
      <selection pane="topRight" activeCell="B1" sqref="B1"/>
    </sheetView>
  </sheetViews>
  <sheetFormatPr defaultRowHeight="14.45"/>
  <cols>
    <col min="1" max="1" width="41" customWidth="1"/>
    <col min="2" max="4" width="13" customWidth="1"/>
    <col min="5" max="5" width="18" customWidth="1"/>
    <col min="6" max="6" width="14" customWidth="1"/>
    <col min="7" max="7" width="15" customWidth="1"/>
    <col min="8" max="8" width="13" customWidth="1"/>
    <col min="9" max="9" width="15" customWidth="1"/>
    <col min="10" max="10" width="14" customWidth="1"/>
    <col min="11" max="12" width="15" customWidth="1"/>
    <col min="13" max="13" width="14" customWidth="1"/>
    <col min="14" max="14" width="17" customWidth="1"/>
    <col min="15" max="15" width="19" customWidth="1"/>
  </cols>
  <sheetData>
    <row r="1" spans="1:17">
      <c r="A1" s="37" t="s">
        <v>110</v>
      </c>
      <c r="B1" s="37" t="s">
        <v>15</v>
      </c>
      <c r="C1" s="37" t="s">
        <v>20</v>
      </c>
      <c r="D1" s="37" t="s">
        <v>101</v>
      </c>
      <c r="E1" s="37" t="s">
        <v>32</v>
      </c>
      <c r="F1" s="37" t="s">
        <v>38</v>
      </c>
      <c r="G1" s="37" t="s">
        <v>44</v>
      </c>
      <c r="H1" s="37" t="s">
        <v>47</v>
      </c>
      <c r="I1" s="37" t="s">
        <v>106</v>
      </c>
      <c r="J1" s="37" t="s">
        <v>58</v>
      </c>
      <c r="K1" s="37" t="s">
        <v>60</v>
      </c>
      <c r="L1" s="37" t="s">
        <v>115</v>
      </c>
      <c r="M1" s="37" t="s">
        <v>71</v>
      </c>
      <c r="N1" s="37" t="s">
        <v>76</v>
      </c>
      <c r="O1" s="37" t="s">
        <v>80</v>
      </c>
      <c r="P1" s="166" t="s">
        <v>0</v>
      </c>
      <c r="Q1" s="184"/>
    </row>
    <row r="2" spans="1:17">
      <c r="A2" t="s">
        <v>116</v>
      </c>
      <c r="B2" s="111">
        <v>2.2036940060000001</v>
      </c>
      <c r="C2" s="111">
        <v>0.44133496799999999</v>
      </c>
      <c r="D2" s="111">
        <v>2.0418754529999998</v>
      </c>
      <c r="E2" s="111">
        <v>0.41745878800000003</v>
      </c>
      <c r="F2" s="111">
        <v>0.18844929099999999</v>
      </c>
      <c r="G2" s="111">
        <v>-0.44555067900000001</v>
      </c>
      <c r="H2" s="111">
        <v>-1.3837396340000001</v>
      </c>
      <c r="I2" s="111">
        <v>-1.4331688119999999</v>
      </c>
      <c r="J2" s="111">
        <v>-1.3409027010000001</v>
      </c>
      <c r="K2" s="111">
        <v>-1.2392272230000001</v>
      </c>
      <c r="L2" s="111">
        <f>STANDARDIZE(26.2,17.3,6.6)</f>
        <v>1.3484848484848484</v>
      </c>
      <c r="M2" s="111">
        <v>0.50068299000000005</v>
      </c>
      <c r="N2" s="111">
        <v>-0.47921333599999999</v>
      </c>
      <c r="O2" s="111">
        <v>0.440645487</v>
      </c>
      <c r="P2" s="168" t="s">
        <v>1</v>
      </c>
      <c r="Q2" s="185"/>
    </row>
    <row r="3" spans="1:17">
      <c r="A3" t="s">
        <v>117</v>
      </c>
      <c r="B3" s="111">
        <v>-0.37654155299999997</v>
      </c>
      <c r="C3" s="111">
        <v>-1.5029541559999999</v>
      </c>
      <c r="D3" s="111">
        <v>1.7555014520000001</v>
      </c>
      <c r="E3" s="111">
        <v>1.4902975000000001</v>
      </c>
      <c r="F3" s="111">
        <v>-0.24780006500000001</v>
      </c>
      <c r="G3" s="111">
        <v>-0.52208849700000004</v>
      </c>
      <c r="H3" s="111">
        <v>1.1050114</v>
      </c>
      <c r="I3" s="111">
        <v>0.60189346399999999</v>
      </c>
      <c r="J3" s="111">
        <v>1.14877812</v>
      </c>
      <c r="K3" s="111">
        <v>1.141954312</v>
      </c>
      <c r="L3" s="111"/>
      <c r="M3" s="111">
        <v>-1.3718814530000001</v>
      </c>
      <c r="N3" s="111">
        <v>-0.78389230600000004</v>
      </c>
      <c r="O3" s="111">
        <v>0.247842743</v>
      </c>
    </row>
    <row r="4" spans="1:17">
      <c r="A4" t="s">
        <v>118</v>
      </c>
      <c r="B4" s="111">
        <v>0.37036873999999997</v>
      </c>
      <c r="C4" s="111">
        <v>0.69493789699999997</v>
      </c>
      <c r="D4" s="111">
        <v>0.18143959500000001</v>
      </c>
      <c r="E4" s="111">
        <v>0.93717304300000004</v>
      </c>
      <c r="F4" s="111">
        <v>2.2740991610000001</v>
      </c>
      <c r="G4" s="111">
        <v>2.0614908930000002</v>
      </c>
      <c r="H4" s="111">
        <v>-0.76662274900000005</v>
      </c>
      <c r="I4" s="111">
        <v>-0.96255266699999997</v>
      </c>
      <c r="J4" s="111">
        <v>-0.76851974099999998</v>
      </c>
      <c r="K4" s="111">
        <v>-0.60243158399999996</v>
      </c>
      <c r="L4" s="111">
        <f>STANDARDIZE(15.9,17.3,6.6)</f>
        <v>-0.21212121212121218</v>
      </c>
      <c r="M4" s="111">
        <v>-0.63953437199999996</v>
      </c>
      <c r="N4" s="111">
        <v>-0.57489793199999994</v>
      </c>
      <c r="O4" s="111">
        <v>-0.87111081800000001</v>
      </c>
    </row>
    <row r="5" spans="1:17">
      <c r="A5" t="s">
        <v>119</v>
      </c>
      <c r="B5" s="111">
        <v>-1.146085491</v>
      </c>
      <c r="C5" s="111">
        <v>-1.5874884659999999</v>
      </c>
      <c r="D5" s="111">
        <v>-0.12979033000000001</v>
      </c>
      <c r="E5" s="111">
        <v>-0.72962481800000001</v>
      </c>
      <c r="F5" s="111">
        <v>0.159231082</v>
      </c>
      <c r="G5" s="111">
        <v>0.32470918799999998</v>
      </c>
      <c r="H5" s="111">
        <v>1.1050114</v>
      </c>
      <c r="I5" s="111">
        <v>0.60189346399999999</v>
      </c>
      <c r="J5" s="111">
        <v>1.14877812</v>
      </c>
      <c r="K5" s="111">
        <v>1.141954312</v>
      </c>
      <c r="L5" s="111">
        <f>STANDARDIZE(22.2,17.3,6.6)</f>
        <v>0.74242424242424221</v>
      </c>
      <c r="M5" s="111">
        <v>-1.351623974</v>
      </c>
      <c r="N5" s="111">
        <v>-0.17696195000000001</v>
      </c>
      <c r="O5" s="111">
        <v>-1.9390807000000001</v>
      </c>
    </row>
    <row r="6" spans="1:17">
      <c r="A6" t="s">
        <v>120</v>
      </c>
      <c r="B6" s="111">
        <v>-3.7037E-2</v>
      </c>
      <c r="C6" s="111">
        <v>-0.40400813000000002</v>
      </c>
      <c r="D6" s="111">
        <v>1.2734972769999999</v>
      </c>
      <c r="E6" s="111">
        <v>9.8205745999999997E-2</v>
      </c>
      <c r="F6" s="111">
        <v>0.17884560899999999</v>
      </c>
      <c r="G6" s="111">
        <v>0.77478207399999999</v>
      </c>
      <c r="H6" s="111">
        <v>1.1050114</v>
      </c>
      <c r="I6" s="111">
        <v>0.60189346399999999</v>
      </c>
      <c r="J6" s="111">
        <v>1.14877812</v>
      </c>
      <c r="K6" s="111">
        <v>1.141954312</v>
      </c>
      <c r="L6" s="111">
        <f>STANDARDIZE(22.1,17.3,6.6)</f>
        <v>0.7272727272727274</v>
      </c>
      <c r="M6" s="111">
        <v>0.118759564</v>
      </c>
      <c r="N6" s="111">
        <v>-0.379056271</v>
      </c>
      <c r="O6" s="111">
        <v>0.29492001600000001</v>
      </c>
    </row>
    <row r="7" spans="1:17">
      <c r="A7" t="s">
        <v>121</v>
      </c>
      <c r="B7" s="111">
        <v>5.3497700000000002E-2</v>
      </c>
      <c r="C7" s="111">
        <v>-1.333885537</v>
      </c>
      <c r="D7" s="111">
        <v>1.4713843230000001</v>
      </c>
      <c r="E7" s="111">
        <v>-0.13937791399999999</v>
      </c>
      <c r="F7" s="111">
        <v>-0.83438719699999997</v>
      </c>
      <c r="G7" s="111">
        <v>-0.825407373</v>
      </c>
      <c r="H7" s="111">
        <v>1.1050114</v>
      </c>
      <c r="I7" s="111">
        <v>0.60189346399999999</v>
      </c>
      <c r="J7" s="111">
        <v>1.14877812</v>
      </c>
      <c r="K7" s="111">
        <v>1.141954312</v>
      </c>
      <c r="L7" s="111">
        <f>STANDARDIZE(24.9,17.3,6.6)</f>
        <v>1.1515151515151512</v>
      </c>
      <c r="M7" s="111">
        <v>-0.93836139600000001</v>
      </c>
      <c r="N7" s="111">
        <v>-0.74738463200000005</v>
      </c>
      <c r="O7" s="111">
        <v>2.7950862320000001</v>
      </c>
    </row>
    <row r="8" spans="1:17">
      <c r="A8" t="s">
        <v>122</v>
      </c>
      <c r="B8" s="111">
        <v>0.16666593299999999</v>
      </c>
      <c r="C8" s="111">
        <v>-0.57307674900000005</v>
      </c>
      <c r="D8" s="111">
        <v>-0.47184847499999999</v>
      </c>
      <c r="E8" s="111">
        <v>0.13161594800000001</v>
      </c>
      <c r="F8" s="111">
        <v>1.4883379130000001</v>
      </c>
      <c r="G8" s="111">
        <v>6.7000714000000003E-2</v>
      </c>
      <c r="H8" s="111">
        <v>-0.76662274900000005</v>
      </c>
      <c r="I8" s="111">
        <v>-0.96255266699999997</v>
      </c>
      <c r="J8" s="111">
        <v>-0.76851974099999998</v>
      </c>
      <c r="K8" s="111">
        <v>-0.60243158399999996</v>
      </c>
      <c r="L8" s="111">
        <f>STANDARDIZE(18.8,17.3,6.6)</f>
        <v>0.22727272727272729</v>
      </c>
      <c r="M8" s="111">
        <v>2.5040821750000002</v>
      </c>
      <c r="N8" s="111">
        <v>0.54777423300000005</v>
      </c>
      <c r="O8" s="111">
        <v>-0.31643588900000003</v>
      </c>
    </row>
    <row r="9" spans="1:17">
      <c r="A9" t="s">
        <v>123</v>
      </c>
      <c r="B9" s="111">
        <v>0.82304164499999999</v>
      </c>
      <c r="C9" s="111">
        <v>1.86634E-2</v>
      </c>
      <c r="D9" s="111">
        <v>0.49108692300000001</v>
      </c>
      <c r="E9" s="111">
        <v>-3.5435000000000001E-2</v>
      </c>
      <c r="F9" s="111">
        <v>-3.2166E-2</v>
      </c>
      <c r="G9" s="111">
        <v>-0.188463776</v>
      </c>
      <c r="H9" s="111">
        <v>1.1050114</v>
      </c>
      <c r="I9" s="111">
        <v>0.60189346399999999</v>
      </c>
      <c r="J9" s="111">
        <v>1.14877812</v>
      </c>
      <c r="K9" s="111">
        <v>1.141954312</v>
      </c>
      <c r="L9" s="111">
        <f>STANDARDIZE(19.8,17.3,6.6)</f>
        <v>0.37878787878787878</v>
      </c>
      <c r="M9" s="111">
        <v>-6.7799809000000003E-2</v>
      </c>
      <c r="N9" s="111">
        <v>0.43433326999999999</v>
      </c>
      <c r="O9" s="111">
        <v>-0.11819111</v>
      </c>
    </row>
    <row r="10" spans="1:17">
      <c r="A10" t="s">
        <v>124</v>
      </c>
      <c r="B10" s="111">
        <v>-2.255134108</v>
      </c>
      <c r="C10" s="111">
        <v>-0.74214536900000005</v>
      </c>
      <c r="D10" s="111">
        <v>-1.297878074</v>
      </c>
      <c r="E10" s="111">
        <v>-2.0883063709999998</v>
      </c>
      <c r="F10" s="111">
        <v>-0.73477125200000004</v>
      </c>
      <c r="G10" s="111">
        <v>-0.97392759500000003</v>
      </c>
      <c r="H10" s="111">
        <v>0.95414177300000003</v>
      </c>
      <c r="I10" s="111">
        <v>5.9825299999999998E-2</v>
      </c>
      <c r="J10" s="111">
        <v>-3.0835999999999999E-2</v>
      </c>
      <c r="K10" s="111">
        <v>0.83276490199999997</v>
      </c>
      <c r="L10" s="111">
        <f>STANDARDIZE(10.4,17.3,6.6)</f>
        <v>-1.0454545454545456</v>
      </c>
      <c r="M10" s="111">
        <v>0.71945215399999995</v>
      </c>
      <c r="N10" s="111">
        <v>0.51284195499999996</v>
      </c>
      <c r="O10" s="111">
        <v>-0.78638905999999997</v>
      </c>
    </row>
    <row r="11" spans="1:17">
      <c r="A11" t="s">
        <v>125</v>
      </c>
      <c r="B11" s="111">
        <v>-0.10493781000000001</v>
      </c>
      <c r="C11" s="111">
        <v>0.103197729</v>
      </c>
      <c r="D11" s="111">
        <v>1.095046427</v>
      </c>
      <c r="E11" s="111">
        <v>0.66246693700000003</v>
      </c>
      <c r="F11" s="111">
        <v>0.32525220100000002</v>
      </c>
      <c r="G11" s="111">
        <v>0.89174038</v>
      </c>
      <c r="H11" s="111">
        <v>-0.76662274900000005</v>
      </c>
      <c r="I11" s="111">
        <v>-0.96255266699999997</v>
      </c>
      <c r="J11" s="111">
        <v>-0.76851974099999998</v>
      </c>
      <c r="K11" s="111">
        <v>-0.60243158399999996</v>
      </c>
      <c r="L11" s="111">
        <f>STANDARDIZE(24,17.3,6.6)</f>
        <v>1.0151515151515151</v>
      </c>
      <c r="M11" s="111">
        <v>1.6711714879999999</v>
      </c>
      <c r="N11" s="111">
        <v>0.99792022499999999</v>
      </c>
      <c r="O11" s="111">
        <v>0.45978661700000001</v>
      </c>
    </row>
    <row r="12" spans="1:17">
      <c r="A12" t="s">
        <v>126</v>
      </c>
      <c r="B12" s="111">
        <v>0.84567529100000005</v>
      </c>
      <c r="C12" s="111">
        <v>0.864006516</v>
      </c>
      <c r="D12" s="111">
        <v>0.29368182700000001</v>
      </c>
      <c r="E12" s="111">
        <v>0.324652671</v>
      </c>
      <c r="F12" s="111">
        <v>1.217750423</v>
      </c>
      <c r="G12" s="111">
        <v>-0.105608411</v>
      </c>
      <c r="H12" s="111">
        <v>-1.3837396340000001</v>
      </c>
      <c r="I12" s="111">
        <v>-1.4331688119999999</v>
      </c>
      <c r="J12" s="111">
        <v>-1.3409027010000001</v>
      </c>
      <c r="K12" s="111">
        <v>-1.2392272230000001</v>
      </c>
      <c r="L12" s="111">
        <f>STANDARDIZE(18.9,17.3,6.6)</f>
        <v>0.24242424242424213</v>
      </c>
      <c r="M12" s="111">
        <v>-0.15149791000000001</v>
      </c>
      <c r="N12" s="111">
        <v>-0.68881005200000001</v>
      </c>
      <c r="O12" s="111">
        <v>-1.3705999999999999E-2</v>
      </c>
    </row>
    <row r="13" spans="1:17">
      <c r="A13" t="s">
        <v>127</v>
      </c>
      <c r="B13" s="111">
        <v>1.999991198</v>
      </c>
      <c r="C13" s="111">
        <v>1.455746685</v>
      </c>
      <c r="D13" s="111">
        <v>0.51707038100000002</v>
      </c>
      <c r="E13" s="111">
        <v>2.1770627660000001</v>
      </c>
      <c r="F13" s="111">
        <v>1.2746999409999999</v>
      </c>
      <c r="G13" s="111">
        <v>1.9483700209999999</v>
      </c>
      <c r="H13" s="111">
        <v>-0.76662274900000005</v>
      </c>
      <c r="I13" s="111">
        <v>-0.96255266699999997</v>
      </c>
      <c r="J13" s="111">
        <v>-0.76851974099999998</v>
      </c>
      <c r="K13" s="111">
        <v>-0.60243158399999996</v>
      </c>
      <c r="L13" s="111">
        <f>STANDARDIZE(26.9,17.3,6.6)</f>
        <v>1.4545454545454544</v>
      </c>
      <c r="M13" s="111">
        <v>-0.51660412700000002</v>
      </c>
      <c r="N13" s="111">
        <v>-3.5305000000000003E-2</v>
      </c>
      <c r="O13" s="111">
        <v>0.58701136799999998</v>
      </c>
    </row>
    <row r="14" spans="1:17">
      <c r="A14" t="s">
        <v>128</v>
      </c>
      <c r="B14" s="111">
        <v>-1.4402999999999999E-2</v>
      </c>
      <c r="C14" s="111">
        <v>-1.7565570859999999</v>
      </c>
      <c r="D14" s="111">
        <v>-1.2438144419999999</v>
      </c>
      <c r="E14" s="111">
        <v>0.90747508600000004</v>
      </c>
      <c r="F14" s="111">
        <v>-1.776533328</v>
      </c>
      <c r="G14" s="111"/>
      <c r="H14" s="111">
        <v>1.1050114</v>
      </c>
      <c r="I14" s="111">
        <v>0.60189346399999999</v>
      </c>
      <c r="J14" s="111">
        <v>1.14877812</v>
      </c>
      <c r="K14" s="111">
        <v>1.141954312</v>
      </c>
      <c r="L14" s="111">
        <f>STANDARDIZE(0,17.3,6.6)</f>
        <v>-2.6212121212121215</v>
      </c>
      <c r="M14" s="111">
        <v>-1.632535962</v>
      </c>
      <c r="N14" s="111">
        <v>-0.60316193299999998</v>
      </c>
      <c r="O14" s="111">
        <v>-1.5698333069999999</v>
      </c>
    </row>
    <row r="15" spans="1:17">
      <c r="A15" t="s">
        <v>129</v>
      </c>
      <c r="B15" s="111">
        <v>-1.327154653</v>
      </c>
      <c r="C15" s="111">
        <v>-0.82667967799999997</v>
      </c>
      <c r="D15" s="111">
        <v>-0.33678239700000001</v>
      </c>
      <c r="E15" s="111">
        <v>-0.56999829700000004</v>
      </c>
      <c r="F15" s="111">
        <v>-0.105536484</v>
      </c>
      <c r="G15" s="111">
        <v>-0.47714864400000001</v>
      </c>
      <c r="H15" s="111">
        <v>0.95414177300000003</v>
      </c>
      <c r="I15" s="111">
        <v>5.9825299999999998E-2</v>
      </c>
      <c r="J15" s="111">
        <v>-3.0835999999999999E-2</v>
      </c>
      <c r="K15" s="111">
        <v>0.83276490199999997</v>
      </c>
      <c r="L15" s="111">
        <f>STANDARDIZE(12.4,17.3,6.6)</f>
        <v>-0.74242424242424254</v>
      </c>
      <c r="M15" s="111">
        <v>1.3189378620000001</v>
      </c>
      <c r="N15" s="111">
        <v>1.111678985</v>
      </c>
      <c r="O15" s="111">
        <v>-0.68133325899999997</v>
      </c>
    </row>
    <row r="16" spans="1:17">
      <c r="A16" t="s">
        <v>130</v>
      </c>
      <c r="B16" s="111">
        <v>1.049378098</v>
      </c>
      <c r="C16" s="111">
        <v>0.77947220699999997</v>
      </c>
      <c r="D16" s="111">
        <v>0.90846243699999996</v>
      </c>
      <c r="E16" s="111">
        <v>2.1176668510000001</v>
      </c>
      <c r="F16" s="111">
        <v>0.85751032299999996</v>
      </c>
      <c r="G16" s="111">
        <v>0.74851949600000001</v>
      </c>
      <c r="H16" s="111">
        <v>-0.76662274900000005</v>
      </c>
      <c r="I16" s="111">
        <v>-0.96255266699999997</v>
      </c>
      <c r="J16" s="111">
        <v>-0.76851974099999998</v>
      </c>
      <c r="K16" s="111">
        <v>-0.60243158399999996</v>
      </c>
      <c r="L16" s="111">
        <f>STANDARDIZE(24.9,17.3,6.6)</f>
        <v>1.1515151515151512</v>
      </c>
      <c r="M16" s="111">
        <v>-0.98625854599999996</v>
      </c>
      <c r="N16" s="111">
        <v>-0.78389230600000004</v>
      </c>
      <c r="O16" s="111">
        <v>-0.810944726</v>
      </c>
    </row>
    <row r="17" spans="1:15">
      <c r="A17" t="s">
        <v>131</v>
      </c>
      <c r="B17" s="111">
        <v>-0.15020510000000001</v>
      </c>
      <c r="C17" s="111">
        <v>-6.5870891000000001E-2</v>
      </c>
      <c r="D17" s="111">
        <v>-0.94812980099999999</v>
      </c>
      <c r="E17" s="111">
        <v>0.38776083099999997</v>
      </c>
      <c r="F17" s="111">
        <v>-0.77630019299999997</v>
      </c>
      <c r="G17" s="111">
        <v>-0.299474034</v>
      </c>
      <c r="H17" s="111">
        <v>1.1050114</v>
      </c>
      <c r="I17" s="111">
        <v>0.60189346399999999</v>
      </c>
      <c r="J17" s="111">
        <v>1.14877812</v>
      </c>
      <c r="K17" s="111">
        <v>1.141954312</v>
      </c>
      <c r="L17" s="111">
        <f>STANDARDIZE(13.9,17.3,6.6)</f>
        <v>-0.51515151515151525</v>
      </c>
      <c r="M17" s="111">
        <v>1.6926300080000001</v>
      </c>
      <c r="N17" s="111">
        <v>1.4204411459999999</v>
      </c>
      <c r="O17" s="111">
        <v>-0.63923878000000001</v>
      </c>
    </row>
    <row r="18" spans="1:15">
      <c r="A18" t="s">
        <v>132</v>
      </c>
      <c r="B18" s="111">
        <v>0.23456686900000001</v>
      </c>
      <c r="C18" s="111">
        <v>-0.40400813000000002</v>
      </c>
      <c r="D18" s="111">
        <v>-0.72284179699999995</v>
      </c>
      <c r="E18" s="111">
        <v>-2.4632430830000001</v>
      </c>
      <c r="F18" s="111">
        <v>1.151369504</v>
      </c>
      <c r="G18" s="111">
        <v>1.4134490669999999</v>
      </c>
      <c r="H18" s="111">
        <v>1.1050114</v>
      </c>
      <c r="I18" s="111">
        <v>0.60189346399999999</v>
      </c>
      <c r="J18" s="111">
        <v>1.14877812</v>
      </c>
      <c r="K18" s="111">
        <v>1.141954312</v>
      </c>
      <c r="L18" s="111">
        <f>STANDARDIZE(0,17.3,6.6)</f>
        <v>-2.6212121212121215</v>
      </c>
      <c r="M18" s="111">
        <v>-0.81178521199999998</v>
      </c>
      <c r="N18" s="111">
        <v>-0.78389230600000004</v>
      </c>
      <c r="O18" s="111">
        <v>-1.2544113050000001</v>
      </c>
    </row>
    <row r="19" spans="1:15">
      <c r="A19" t="s">
        <v>133</v>
      </c>
      <c r="B19" s="111">
        <v>0.528804257</v>
      </c>
      <c r="C19" s="111">
        <v>1.86634E-2</v>
      </c>
      <c r="D19" s="111">
        <v>0.809520558</v>
      </c>
      <c r="E19" s="111">
        <v>-0.78530848799999997</v>
      </c>
      <c r="F19" s="111">
        <v>0.21704800599999999</v>
      </c>
      <c r="G19" s="111">
        <v>-0.37668956599999998</v>
      </c>
      <c r="H19" s="111">
        <v>-0.64331855100000002</v>
      </c>
      <c r="I19" s="111">
        <v>0.81930903700000002</v>
      </c>
      <c r="J19" s="111">
        <v>-0.54257152500000005</v>
      </c>
      <c r="K19" s="111">
        <v>-1.01235911</v>
      </c>
      <c r="L19" s="111">
        <f>STANDARDIZE(19.3,17.3,6.6)</f>
        <v>0.30303030303030304</v>
      </c>
      <c r="M19" s="111">
        <v>-0.89471162000000004</v>
      </c>
      <c r="N19" s="111">
        <v>-0.31720459299999998</v>
      </c>
      <c r="O19" s="111">
        <v>-0.48866727700000001</v>
      </c>
    </row>
    <row r="20" spans="1:15">
      <c r="A20" t="s">
        <v>134</v>
      </c>
      <c r="B20" s="111">
        <v>-0.26337332699999999</v>
      </c>
      <c r="C20" s="111">
        <v>0.44133496799999999</v>
      </c>
      <c r="D20" s="111">
        <v>-0.61699821899999996</v>
      </c>
      <c r="E20" s="111">
        <v>-0.26559423300000001</v>
      </c>
      <c r="F20" s="111">
        <v>-0.12974402600000001</v>
      </c>
      <c r="G20" s="111">
        <v>-0.94935669</v>
      </c>
      <c r="H20" s="111">
        <v>-1.3837396340000001</v>
      </c>
      <c r="I20" s="111">
        <v>-1.4331688119999999</v>
      </c>
      <c r="J20" s="111">
        <v>-1.3409027010000001</v>
      </c>
      <c r="K20" s="111">
        <v>-1.2392272230000001</v>
      </c>
      <c r="L20" s="111">
        <f>STANDARDIZE(20.8,17.3,6.6)</f>
        <v>0.53030303030303028</v>
      </c>
      <c r="M20" s="111">
        <v>-0.11516911000000001</v>
      </c>
      <c r="N20" s="111">
        <v>0.26304395600000002</v>
      </c>
      <c r="O20" s="111">
        <v>-0.74543839700000003</v>
      </c>
    </row>
    <row r="21" spans="1:15">
      <c r="A21" t="s">
        <v>135</v>
      </c>
      <c r="B21" s="111">
        <v>-0.58024436000000001</v>
      </c>
      <c r="C21" s="111">
        <v>-0.99574829799999998</v>
      </c>
      <c r="D21" s="111">
        <v>-1.2407501780000001</v>
      </c>
      <c r="E21" s="111">
        <v>-7.2557510000000006E-2</v>
      </c>
      <c r="F21" s="111">
        <v>-0.48954307200000002</v>
      </c>
      <c r="G21" s="111">
        <v>-0.30884336400000001</v>
      </c>
      <c r="H21" s="111">
        <v>1.1050114</v>
      </c>
      <c r="I21" s="111">
        <v>0.60189346399999999</v>
      </c>
      <c r="J21" s="111">
        <v>1.14877812</v>
      </c>
      <c r="K21" s="111">
        <v>1.141954312</v>
      </c>
      <c r="L21" s="111">
        <f>STANDARDIZE(9.6,17.3,6.6)</f>
        <v>-1.166666666666667</v>
      </c>
      <c r="M21" s="111">
        <v>-0.44405753999999997</v>
      </c>
      <c r="N21" s="111">
        <v>-4.6687999999999999E-3</v>
      </c>
      <c r="O21" s="111">
        <v>-0.20594570000000001</v>
      </c>
    </row>
    <row r="22" spans="1:15">
      <c r="A22" t="s">
        <v>136</v>
      </c>
      <c r="B22" s="111">
        <v>0.211933224</v>
      </c>
      <c r="C22" s="111">
        <v>-6.5870891000000001E-2</v>
      </c>
      <c r="D22" s="111">
        <v>-0.81296288999999999</v>
      </c>
      <c r="E22" s="111">
        <v>0.153889416</v>
      </c>
      <c r="F22" s="111">
        <v>0.93093007900000002</v>
      </c>
      <c r="G22" s="111">
        <v>0.17566963199999999</v>
      </c>
      <c r="H22" s="111">
        <v>-0.64331855100000002</v>
      </c>
      <c r="I22" s="111">
        <v>0.81930903700000002</v>
      </c>
      <c r="J22" s="111">
        <v>-0.54257152500000005</v>
      </c>
      <c r="K22" s="111">
        <v>-1.01235911</v>
      </c>
      <c r="L22" s="111">
        <f>STANDARDIZE(13.3,17.3,6.6)</f>
        <v>-0.60606060606060608</v>
      </c>
      <c r="M22" s="111">
        <v>-0.63550316200000001</v>
      </c>
      <c r="N22" s="111">
        <v>-0.239479093</v>
      </c>
      <c r="O22" s="111">
        <v>-1.2002301440000001</v>
      </c>
    </row>
    <row r="23" spans="1:15">
      <c r="A23" t="s">
        <v>137</v>
      </c>
      <c r="B23" s="111">
        <v>-0.89711539299999998</v>
      </c>
      <c r="C23" s="111">
        <v>-1.249351227</v>
      </c>
      <c r="D23" s="111">
        <v>0.73413626899999995</v>
      </c>
      <c r="E23" s="111">
        <v>9.0781256000000005E-2</v>
      </c>
      <c r="F23" s="111">
        <v>1.4440841499999999</v>
      </c>
      <c r="G23" s="111">
        <v>0.59891034200000004</v>
      </c>
      <c r="H23" s="111">
        <v>1.1050114</v>
      </c>
      <c r="I23" s="111">
        <v>0.60189346399999999</v>
      </c>
      <c r="J23" s="111">
        <v>1.14877812</v>
      </c>
      <c r="K23" s="111">
        <v>1.141954312</v>
      </c>
      <c r="L23" s="111"/>
      <c r="M23" s="111">
        <v>-1.3165449090000001</v>
      </c>
      <c r="N23" s="111">
        <v>1.188105765</v>
      </c>
      <c r="O23" s="111">
        <v>1.2812199999999999E-2</v>
      </c>
    </row>
    <row r="24" spans="1:15">
      <c r="A24" t="s">
        <v>138</v>
      </c>
      <c r="B24" s="111">
        <v>-0.89711539299999998</v>
      </c>
      <c r="C24" s="111">
        <v>-0.99574829799999998</v>
      </c>
      <c r="D24" s="111">
        <v>2.5927489100000001</v>
      </c>
      <c r="E24" s="111">
        <v>1.055964873</v>
      </c>
      <c r="F24" s="111">
        <v>0.73092482999999997</v>
      </c>
      <c r="G24" s="111">
        <v>-0.90058140099999995</v>
      </c>
      <c r="H24" s="111">
        <v>1.1050114</v>
      </c>
      <c r="I24" s="111">
        <v>0.60189346399999999</v>
      </c>
      <c r="J24" s="111">
        <v>1.14877812</v>
      </c>
      <c r="K24" s="111">
        <v>1.141954312</v>
      </c>
      <c r="L24" s="111"/>
      <c r="M24" s="111">
        <v>-1.032341395</v>
      </c>
      <c r="N24" s="111">
        <v>-0.78389230600000004</v>
      </c>
      <c r="O24" s="111">
        <v>-1.529918782</v>
      </c>
    </row>
    <row r="25" spans="1:15">
      <c r="A25" t="s">
        <v>139</v>
      </c>
      <c r="B25" s="111">
        <v>-0.783947167</v>
      </c>
      <c r="C25" s="111">
        <v>-0.488542439</v>
      </c>
      <c r="D25" s="111">
        <v>0.18987152500000001</v>
      </c>
      <c r="E25" s="111">
        <v>-0.65166767999999997</v>
      </c>
      <c r="F25" s="111">
        <v>-0.57759184399999997</v>
      </c>
      <c r="G25" s="111">
        <v>0.36710485599999998</v>
      </c>
      <c r="H25" s="111">
        <v>1.1050114</v>
      </c>
      <c r="I25" s="111">
        <v>0.60189346399999999</v>
      </c>
      <c r="J25" s="111">
        <v>1.14877812</v>
      </c>
      <c r="K25" s="111">
        <v>1.141954312</v>
      </c>
      <c r="L25" s="111">
        <f>STANDARDIZE(9.3,17.3,6.6)</f>
        <v>-1.2121212121212122</v>
      </c>
      <c r="M25" s="111">
        <v>1.5819120849999999</v>
      </c>
      <c r="N25" s="111">
        <v>0.77061236700000002</v>
      </c>
      <c r="O25" s="111">
        <v>-0.187319549</v>
      </c>
    </row>
    <row r="26" spans="1:15">
      <c r="A26" t="s">
        <v>140</v>
      </c>
      <c r="B26" s="111">
        <v>-8.2304164999999999E-2</v>
      </c>
      <c r="C26" s="111">
        <v>-0.23493950999999999</v>
      </c>
      <c r="D26" s="111">
        <v>1.5103415840000001</v>
      </c>
      <c r="E26" s="111">
        <v>0.17616288399999999</v>
      </c>
      <c r="F26" s="111">
        <v>4.78342E-2</v>
      </c>
      <c r="G26" s="111">
        <v>0.959465448</v>
      </c>
      <c r="H26" s="111">
        <v>-0.76662274900000005</v>
      </c>
      <c r="I26" s="111">
        <v>-0.96255266699999997</v>
      </c>
      <c r="J26" s="111">
        <v>-0.76851974099999998</v>
      </c>
      <c r="K26" s="111">
        <v>-0.60243158399999996</v>
      </c>
      <c r="L26" s="111">
        <f>STANDARDIZE(23.7,17.3,6.6)</f>
        <v>0.9696969696969695</v>
      </c>
      <c r="M26" s="111">
        <v>0.88013950600000002</v>
      </c>
      <c r="N26" s="111">
        <v>0.46070013999999998</v>
      </c>
      <c r="O26" s="111">
        <v>0.22857480399999999</v>
      </c>
    </row>
    <row r="27" spans="1:15">
      <c r="A27" t="s">
        <v>141</v>
      </c>
      <c r="B27" s="111">
        <v>-0.96501632900000001</v>
      </c>
      <c r="C27" s="111">
        <v>-0.31947382000000002</v>
      </c>
      <c r="D27" s="111">
        <v>-0.67041790899999998</v>
      </c>
      <c r="E27" s="111">
        <v>-0.37324932900000002</v>
      </c>
      <c r="F27" s="111">
        <v>0.67152425800000004</v>
      </c>
      <c r="G27" s="111">
        <v>0.286787297</v>
      </c>
      <c r="H27" s="111">
        <v>0.95414177300000003</v>
      </c>
      <c r="I27" s="111">
        <v>5.9825299999999998E-2</v>
      </c>
      <c r="J27" s="111">
        <v>-3.0835999999999999E-2</v>
      </c>
      <c r="K27" s="111">
        <v>0.83276490199999997</v>
      </c>
      <c r="L27" s="111">
        <f>STANDARDIZE(16.4,17.3,6.6)</f>
        <v>-0.13636363636363669</v>
      </c>
      <c r="M27" s="111">
        <v>2.09594E-2</v>
      </c>
      <c r="N27" s="111">
        <v>0.42732472799999999</v>
      </c>
      <c r="O27" s="111">
        <v>-0.54276591299999999</v>
      </c>
    </row>
    <row r="28" spans="1:15">
      <c r="A28" t="s">
        <v>142</v>
      </c>
      <c r="B28" s="111">
        <v>-1.078184555</v>
      </c>
      <c r="C28" s="111">
        <v>-1.5874884659999999</v>
      </c>
      <c r="D28" s="111">
        <v>-0.62133123400000001</v>
      </c>
      <c r="E28" s="111">
        <v>-2.1031553490000001</v>
      </c>
      <c r="F28" s="111">
        <v>-2.6009008869999999</v>
      </c>
      <c r="G28" s="111">
        <v>-2.5362953159999999</v>
      </c>
      <c r="H28" s="111">
        <v>1.1050114</v>
      </c>
      <c r="I28" s="111">
        <v>0.60189346399999999</v>
      </c>
      <c r="J28" s="111">
        <v>1.14877812</v>
      </c>
      <c r="K28" s="111">
        <v>1.141954312</v>
      </c>
      <c r="L28" s="111"/>
      <c r="M28" s="111">
        <v>-1.0766005789999999</v>
      </c>
      <c r="N28" s="111">
        <v>0.26069608599999999</v>
      </c>
      <c r="O28" s="111">
        <v>-0.63034352500000002</v>
      </c>
    </row>
    <row r="29" spans="1:15">
      <c r="A29" t="s">
        <v>143</v>
      </c>
      <c r="B29" s="111">
        <v>1.909456617</v>
      </c>
      <c r="C29" s="111">
        <v>0.69493789699999997</v>
      </c>
      <c r="D29" s="111">
        <v>-0.250025461</v>
      </c>
      <c r="E29" s="111">
        <v>1.122785277</v>
      </c>
      <c r="F29" s="111">
        <v>-1.2971024200000001</v>
      </c>
      <c r="G29" s="111">
        <v>-0.69476880900000004</v>
      </c>
      <c r="H29" s="111">
        <v>1.1050114</v>
      </c>
      <c r="I29" s="111">
        <v>0.60189346399999999</v>
      </c>
      <c r="J29" s="111">
        <v>1.14877812</v>
      </c>
      <c r="K29" s="111">
        <v>1.141954312</v>
      </c>
      <c r="L29" s="111">
        <f>STANDARDIZE(16.8,17.3,6.6)</f>
        <v>-7.575757575757576E-2</v>
      </c>
      <c r="M29" s="111">
        <v>-1.323827952</v>
      </c>
      <c r="N29" s="111">
        <v>-0.78389230600000004</v>
      </c>
      <c r="O29" s="111">
        <v>2.571688306</v>
      </c>
    </row>
    <row r="30" spans="1:15">
      <c r="A30" t="s">
        <v>144</v>
      </c>
      <c r="B30" s="111">
        <v>1.5699519390000001</v>
      </c>
      <c r="C30" s="111">
        <v>-0.57307674900000005</v>
      </c>
      <c r="D30" s="111">
        <v>-0.36743513</v>
      </c>
      <c r="E30" s="111">
        <v>-0.32499014799999998</v>
      </c>
      <c r="F30" s="111">
        <v>3.1232224309999999</v>
      </c>
      <c r="G30" s="111">
        <v>3.6498993240000002</v>
      </c>
      <c r="H30" s="111">
        <v>1.1050114</v>
      </c>
      <c r="I30" s="111">
        <v>0.60189346399999999</v>
      </c>
      <c r="J30" s="111">
        <v>1.14877812</v>
      </c>
      <c r="K30" s="111">
        <v>1.141954312</v>
      </c>
      <c r="L30" s="111"/>
      <c r="M30" s="111">
        <v>1.29578086</v>
      </c>
      <c r="N30" s="111">
        <v>-0.64056383800000005</v>
      </c>
      <c r="O30" s="111">
        <v>2.9598495690000002</v>
      </c>
    </row>
    <row r="31" spans="1:15">
      <c r="A31" t="s">
        <v>145</v>
      </c>
      <c r="B31" s="111">
        <v>-1.440322879</v>
      </c>
      <c r="C31" s="111">
        <v>-1.164816917</v>
      </c>
      <c r="D31" s="111">
        <v>-1.960852061</v>
      </c>
      <c r="E31" s="111">
        <v>-0.79273297700000001</v>
      </c>
      <c r="F31" s="111">
        <v>0.18785046</v>
      </c>
      <c r="G31" s="111">
        <v>0.92219030300000004</v>
      </c>
      <c r="H31" s="111">
        <v>1.1050114</v>
      </c>
      <c r="I31" s="111">
        <v>0.60189346399999999</v>
      </c>
      <c r="J31" s="111">
        <v>1.14877812</v>
      </c>
      <c r="K31" s="111">
        <v>1.141954312</v>
      </c>
      <c r="L31" s="111">
        <f>STANDARDIZE(0,17.3,6.6)</f>
        <v>-2.6212121212121215</v>
      </c>
      <c r="M31" s="111">
        <v>-1.8904501039999999</v>
      </c>
      <c r="N31" s="111">
        <v>-0.78389230600000004</v>
      </c>
      <c r="O31" s="111">
        <v>-1.6521692809999999</v>
      </c>
    </row>
    <row r="32" spans="1:15">
      <c r="A32" t="s">
        <v>146</v>
      </c>
      <c r="B32" s="111">
        <v>0.66460612900000005</v>
      </c>
      <c r="C32" s="111">
        <v>1.793883924</v>
      </c>
      <c r="D32" s="111">
        <v>0.13598959999999999</v>
      </c>
      <c r="E32" s="111">
        <v>-0.50689013699999996</v>
      </c>
      <c r="F32" s="111">
        <v>-2.1635353940000002</v>
      </c>
      <c r="G32" s="111">
        <v>-2.1838328499999999</v>
      </c>
      <c r="H32" s="111">
        <v>-0.76662274900000005</v>
      </c>
      <c r="I32" s="111">
        <v>-0.96255266699999997</v>
      </c>
      <c r="J32" s="111">
        <v>-0.76851974099999998</v>
      </c>
      <c r="K32" s="111">
        <v>-0.60243158399999996</v>
      </c>
      <c r="L32" s="111">
        <f>STANDARDIZE(23.6,17.3,6.6)</f>
        <v>0.9545454545454547</v>
      </c>
      <c r="M32" s="111">
        <v>-0.72822690999999995</v>
      </c>
      <c r="N32" s="111">
        <v>-0.53566877300000004</v>
      </c>
      <c r="O32" s="111">
        <v>-0.45069879899999998</v>
      </c>
    </row>
    <row r="33" spans="1:15">
      <c r="A33" t="s">
        <v>147</v>
      </c>
      <c r="B33" s="111">
        <v>1.3888827770000001</v>
      </c>
      <c r="C33" s="111">
        <v>0.948540826</v>
      </c>
      <c r="D33" s="111">
        <v>-0.68157954700000001</v>
      </c>
      <c r="E33" s="111">
        <v>3.1385299999999998E-2</v>
      </c>
      <c r="F33" s="111">
        <v>-0.97261038099999997</v>
      </c>
      <c r="G33" s="111">
        <v>-1.8762363639999999</v>
      </c>
      <c r="H33" s="111">
        <v>-0.76662274900000005</v>
      </c>
      <c r="I33" s="111">
        <v>-0.96255266699999997</v>
      </c>
      <c r="J33" s="111">
        <v>-0.76851974099999998</v>
      </c>
      <c r="K33" s="111">
        <v>-0.60243158399999996</v>
      </c>
      <c r="L33" s="111">
        <f>STANDARDIZE(10.4,17.3,6.6)</f>
        <v>-1.0454545454545456</v>
      </c>
      <c r="M33" s="111">
        <v>-0.156190895</v>
      </c>
      <c r="N33" s="111">
        <v>-0.48891786399999998</v>
      </c>
      <c r="O33" s="111">
        <v>2.170182493</v>
      </c>
    </row>
    <row r="34" spans="1:15">
      <c r="A34" t="s">
        <v>148</v>
      </c>
      <c r="B34" s="111">
        <v>-1.4402999999999999E-2</v>
      </c>
      <c r="C34" s="111">
        <v>-0.57307674900000005</v>
      </c>
      <c r="D34" s="111">
        <v>-0.64441580700000001</v>
      </c>
      <c r="E34" s="111">
        <v>-0.35840034999999998</v>
      </c>
      <c r="F34" s="111">
        <v>0.27130486500000001</v>
      </c>
      <c r="G34" s="111">
        <v>1.0470267799999999</v>
      </c>
      <c r="H34" s="111">
        <v>1.1050114</v>
      </c>
      <c r="I34" s="111">
        <v>0.60189346399999999</v>
      </c>
      <c r="J34" s="111">
        <v>1.14877812</v>
      </c>
      <c r="K34" s="111">
        <v>1.141954312</v>
      </c>
      <c r="L34" s="111">
        <f>STANDARDIZE(15.8,17.3,6.6)</f>
        <v>-0.22727272727272729</v>
      </c>
      <c r="M34" s="111">
        <v>0.80308347800000002</v>
      </c>
      <c r="N34" s="111">
        <v>-0.103983487</v>
      </c>
      <c r="O34" s="111">
        <v>0.21404268900000001</v>
      </c>
    </row>
    <row r="35" spans="1:15">
      <c r="A35" t="s">
        <v>149</v>
      </c>
      <c r="B35" s="111">
        <v>1.253080905</v>
      </c>
      <c r="C35" s="111">
        <v>0.948540826</v>
      </c>
      <c r="D35" s="111">
        <v>-0.48379114899999998</v>
      </c>
      <c r="E35" s="111">
        <v>-0.32499014799999998</v>
      </c>
      <c r="F35" s="111">
        <v>2.5469959740000001</v>
      </c>
      <c r="G35" s="111">
        <v>1.606306426</v>
      </c>
      <c r="H35" s="111">
        <v>1.1050114</v>
      </c>
      <c r="I35" s="111">
        <v>0.60189346399999999</v>
      </c>
      <c r="J35" s="111">
        <v>1.14877812</v>
      </c>
      <c r="K35" s="111">
        <v>1.141954312</v>
      </c>
      <c r="L35" s="111"/>
      <c r="M35" s="111">
        <v>-0.701291832</v>
      </c>
      <c r="N35" s="111">
        <v>-0.72038263700000005</v>
      </c>
      <c r="O35" s="111">
        <v>0.69193801399999999</v>
      </c>
    </row>
    <row r="36" spans="1:15">
      <c r="A36" t="s">
        <v>150</v>
      </c>
      <c r="B36" s="111">
        <v>0.121398643</v>
      </c>
      <c r="C36" s="111">
        <v>-0.31947382000000002</v>
      </c>
      <c r="D36" s="111">
        <v>0.36428210100000002</v>
      </c>
      <c r="E36" s="111">
        <v>0.39518532000000001</v>
      </c>
      <c r="F36" s="111">
        <v>-0.158436836</v>
      </c>
      <c r="G36" s="111">
        <v>0.47029896500000001</v>
      </c>
      <c r="H36" s="111">
        <v>-0.76662274900000005</v>
      </c>
      <c r="I36" s="111">
        <v>-0.96255266699999997</v>
      </c>
      <c r="J36" s="111">
        <v>-0.76851974099999998</v>
      </c>
      <c r="K36" s="111">
        <v>-0.60243158399999996</v>
      </c>
      <c r="L36" s="111">
        <f>STANDARDIZE(27.2,17.3,6.6)</f>
        <v>1.4999999999999998</v>
      </c>
      <c r="M36" s="111">
        <v>-0.36604547799999998</v>
      </c>
      <c r="N36" s="111">
        <v>-0.429717444</v>
      </c>
      <c r="O36" s="111">
        <v>0.58865085100000003</v>
      </c>
    </row>
    <row r="37" spans="1:15">
      <c r="A37" t="s">
        <v>151</v>
      </c>
      <c r="B37" s="111">
        <v>-0.195472391</v>
      </c>
      <c r="C37" s="111">
        <v>0.864006516</v>
      </c>
      <c r="D37" s="111">
        <v>0.90175650699999998</v>
      </c>
      <c r="E37" s="111">
        <v>-0.280443212</v>
      </c>
      <c r="F37" s="111">
        <v>-0.79949013499999999</v>
      </c>
      <c r="G37" s="111">
        <v>0.165814142</v>
      </c>
      <c r="H37" s="111">
        <v>-0.64331855100000002</v>
      </c>
      <c r="I37" s="111">
        <v>0.81930903700000002</v>
      </c>
      <c r="J37" s="111">
        <v>-0.54257152500000005</v>
      </c>
      <c r="K37" s="111">
        <v>-1.01235911</v>
      </c>
      <c r="L37" s="111">
        <f>STANDARDIZE(14.3,17.3,6.6)</f>
        <v>-0.45454545454545459</v>
      </c>
      <c r="M37" s="111">
        <v>1.1319893089999999</v>
      </c>
      <c r="N37" s="111">
        <v>6.6793217120000001</v>
      </c>
      <c r="O37" s="111">
        <v>1</v>
      </c>
    </row>
    <row r="38" spans="1:15">
      <c r="A38" t="s">
        <v>152</v>
      </c>
      <c r="B38" s="111">
        <v>-1.7345602680000001</v>
      </c>
      <c r="C38" s="111">
        <v>-1.418419847</v>
      </c>
      <c r="D38" s="111">
        <v>0.68074695600000001</v>
      </c>
      <c r="E38" s="111">
        <v>0.28010573500000002</v>
      </c>
      <c r="F38" s="111">
        <v>-0.66914889099999997</v>
      </c>
      <c r="G38" s="111">
        <v>-1.058819223</v>
      </c>
      <c r="H38" s="111">
        <v>1.1050114</v>
      </c>
      <c r="I38" s="111">
        <v>0.60189346399999999</v>
      </c>
      <c r="J38" s="111">
        <v>1.14877812</v>
      </c>
      <c r="K38" s="111">
        <v>1.141954312</v>
      </c>
      <c r="L38" s="111">
        <f>STANDARDIZE(11.5,17.3,6.6)</f>
        <v>-0.8787878787878789</v>
      </c>
      <c r="M38" s="111">
        <v>-1.107869746</v>
      </c>
      <c r="N38" s="111">
        <v>-0.69513323599999999</v>
      </c>
      <c r="O38" s="111">
        <v>6.6065394999999999E-2</v>
      </c>
    </row>
    <row r="39" spans="1:15">
      <c r="A39" t="s">
        <v>153</v>
      </c>
      <c r="B39" s="111">
        <v>1.7736547460000001</v>
      </c>
      <c r="C39" s="111">
        <v>0.77947220699999997</v>
      </c>
      <c r="D39" s="111">
        <v>-1.960852061</v>
      </c>
      <c r="E39" s="111">
        <v>1.505146479</v>
      </c>
      <c r="F39" s="111">
        <v>-1.0133E-2</v>
      </c>
      <c r="G39" s="111">
        <v>-0.141706204</v>
      </c>
      <c r="H39" s="111">
        <v>1.1050114</v>
      </c>
      <c r="I39" s="111">
        <v>0.60189346399999999</v>
      </c>
      <c r="J39" s="111">
        <v>1.14877812</v>
      </c>
      <c r="K39" s="111">
        <v>1.141954312</v>
      </c>
      <c r="L39" s="111">
        <f>STANDARDIZE(15.6,17.3,6.6)</f>
        <v>-0.25757575757575774</v>
      </c>
      <c r="M39" s="111">
        <v>-0.63693644900000002</v>
      </c>
      <c r="N39" s="111">
        <v>0.69097990600000003</v>
      </c>
      <c r="O39" s="111">
        <v>-5.4288000000000003E-2</v>
      </c>
    </row>
    <row r="40" spans="1:15">
      <c r="A40" t="s">
        <v>154</v>
      </c>
      <c r="B40" s="111">
        <v>-1.4402999999999999E-2</v>
      </c>
      <c r="C40" s="111">
        <v>2.5546927109999999</v>
      </c>
      <c r="D40" s="111">
        <v>-1.3437752940000001</v>
      </c>
      <c r="E40" s="111">
        <v>1.7687158510000001</v>
      </c>
      <c r="F40" s="111">
        <v>6.8405949999999993E-2</v>
      </c>
      <c r="G40" s="111">
        <v>-0.51182428199999996</v>
      </c>
      <c r="H40" s="111">
        <v>-0.76662274900000005</v>
      </c>
      <c r="I40" s="111">
        <v>-0.96255266699999997</v>
      </c>
      <c r="J40" s="111">
        <v>-0.76851974099999998</v>
      </c>
      <c r="K40" s="111">
        <v>-0.60243158399999996</v>
      </c>
      <c r="L40" s="111">
        <f>STANDARDIZE(22.9,17.3,6.6)</f>
        <v>0.84848484848484818</v>
      </c>
      <c r="M40" s="111">
        <v>-0.92092469200000004</v>
      </c>
      <c r="N40" s="111">
        <v>-0.49309365500000002</v>
      </c>
      <c r="O40" s="111">
        <v>-1.0565508050000001</v>
      </c>
    </row>
    <row r="41" spans="1:15">
      <c r="A41" t="s">
        <v>155</v>
      </c>
      <c r="B41" s="111">
        <v>1.1172790340000001</v>
      </c>
      <c r="C41" s="111">
        <v>1.1176094459999999</v>
      </c>
      <c r="D41" s="111">
        <v>0.14597078799999999</v>
      </c>
      <c r="E41" s="111">
        <v>0.39518532000000001</v>
      </c>
      <c r="F41" s="111">
        <v>-0.13454258599999999</v>
      </c>
      <c r="G41" s="111">
        <v>5.28811E-2</v>
      </c>
      <c r="H41" s="111">
        <v>-0.76662274900000005</v>
      </c>
      <c r="I41" s="111">
        <v>-0.96255266699999997</v>
      </c>
      <c r="J41" s="111">
        <v>-0.76851974099999998</v>
      </c>
      <c r="K41" s="111">
        <v>-0.60243158399999996</v>
      </c>
      <c r="L41" s="111">
        <f>STANDARDIZE(22,17.3,6.6)</f>
        <v>0.71212121212121204</v>
      </c>
      <c r="M41" s="111">
        <v>0.41224897300000002</v>
      </c>
      <c r="N41" s="111">
        <v>-0.56310476499999995</v>
      </c>
      <c r="O41" s="111">
        <v>4.1322999999999999E-2</v>
      </c>
    </row>
    <row r="42" spans="1:15">
      <c r="A42" t="s">
        <v>156</v>
      </c>
      <c r="B42" s="111">
        <v>-0.28600697200000003</v>
      </c>
      <c r="C42" s="111">
        <v>-6.5870891000000001E-2</v>
      </c>
      <c r="D42" s="111">
        <v>-0.64673972099999999</v>
      </c>
      <c r="E42" s="111">
        <v>-7.9981998999999998E-2</v>
      </c>
      <c r="F42" s="111">
        <v>0.247018129</v>
      </c>
      <c r="G42" s="111">
        <v>0.48783687999999997</v>
      </c>
      <c r="H42" s="111">
        <v>-1.3837396340000001</v>
      </c>
      <c r="I42" s="111">
        <v>-1.4331688119999999</v>
      </c>
      <c r="J42" s="111">
        <v>-1.3409027010000001</v>
      </c>
      <c r="K42" s="111">
        <v>-1.2392272230000001</v>
      </c>
      <c r="L42" s="111">
        <f>STANDARDIZE(16.6,17.3,6.6)</f>
        <v>-0.10606060606060595</v>
      </c>
      <c r="M42" s="111">
        <v>-0.54681451299999995</v>
      </c>
      <c r="N42" s="111">
        <v>-0.65166592700000003</v>
      </c>
      <c r="O42" s="111">
        <v>6.5702382000000004E-2</v>
      </c>
    </row>
    <row r="43" spans="1:15">
      <c r="A43" t="s">
        <v>157</v>
      </c>
      <c r="B43" s="111">
        <v>-1.146085491</v>
      </c>
      <c r="C43" s="111">
        <v>-0.65761105900000005</v>
      </c>
      <c r="D43" s="111">
        <v>-1.079725085</v>
      </c>
      <c r="E43" s="111">
        <v>-7.2557510000000006E-2</v>
      </c>
      <c r="F43" s="111">
        <v>-0.28979784800000002</v>
      </c>
      <c r="G43" s="111">
        <v>-0.42858381299999998</v>
      </c>
      <c r="H43" s="111">
        <v>1.1050114</v>
      </c>
      <c r="I43" s="111">
        <v>0.60189346399999999</v>
      </c>
      <c r="J43" s="111">
        <v>1.14877812</v>
      </c>
      <c r="K43" s="111">
        <v>1.141954312</v>
      </c>
      <c r="L43" s="111">
        <f>STANDARDIZE(7.4,17.3,6.6)</f>
        <v>-1.5000000000000002</v>
      </c>
      <c r="M43" s="111">
        <v>-0.20976883399999999</v>
      </c>
      <c r="N43" s="111">
        <v>-0.134246213</v>
      </c>
      <c r="O43" s="111">
        <v>0.14217022700000001</v>
      </c>
    </row>
    <row r="44" spans="1:15">
      <c r="A44" t="s">
        <v>158</v>
      </c>
      <c r="B44" s="111">
        <v>-0.91974903900000005</v>
      </c>
      <c r="C44" s="111">
        <v>-1.249351227</v>
      </c>
      <c r="D44" s="111">
        <v>-1.8584181150000001</v>
      </c>
      <c r="E44" s="111">
        <v>-2.4446818600000002</v>
      </c>
      <c r="F44" s="111">
        <v>0.31805573599999998</v>
      </c>
      <c r="G44" s="111">
        <v>1.8062469299999999</v>
      </c>
      <c r="H44" s="111">
        <v>-0.76662274900000005</v>
      </c>
      <c r="I44" s="111">
        <v>-0.96255266699999997</v>
      </c>
      <c r="J44" s="111">
        <v>-0.76851974099999998</v>
      </c>
      <c r="K44" s="111">
        <v>-0.60243158399999996</v>
      </c>
      <c r="L44" s="111">
        <f>STANDARDIZE(22.1,17.3,6.6)</f>
        <v>0.7272727272727274</v>
      </c>
      <c r="M44" s="111">
        <v>-1.037611799</v>
      </c>
      <c r="N44" s="111">
        <v>-0.59382130099999997</v>
      </c>
      <c r="O44" s="111">
        <v>-0.196508339</v>
      </c>
    </row>
    <row r="45" spans="1:15">
      <c r="A45" t="s">
        <v>159</v>
      </c>
      <c r="B45" s="111">
        <v>-1.259253717</v>
      </c>
      <c r="C45" s="111">
        <v>-1.0802826080000001</v>
      </c>
      <c r="D45" s="111">
        <v>1.6391101610000001</v>
      </c>
      <c r="E45" s="111">
        <v>-1.3162E-2</v>
      </c>
      <c r="F45" s="111">
        <v>-2.8896000000000002E-2</v>
      </c>
      <c r="G45" s="111">
        <v>0.86683045199999997</v>
      </c>
      <c r="H45" s="111">
        <v>1.1050114</v>
      </c>
      <c r="I45" s="111">
        <v>0.60189346399999999</v>
      </c>
      <c r="J45" s="111">
        <v>1.14877812</v>
      </c>
      <c r="K45" s="111">
        <v>1.141954312</v>
      </c>
      <c r="L45" s="111"/>
      <c r="M45" s="111">
        <v>-1.123472673</v>
      </c>
      <c r="N45" s="111">
        <v>-0.59572483799999998</v>
      </c>
      <c r="O45" s="111">
        <v>-0.602391495</v>
      </c>
    </row>
    <row r="46" spans="1:15">
      <c r="A46" t="s">
        <v>160</v>
      </c>
      <c r="B46" s="111">
        <v>-0.37654155299999997</v>
      </c>
      <c r="C46" s="111">
        <v>0.18773203899999999</v>
      </c>
      <c r="D46" s="111">
        <v>-0.39264391599999998</v>
      </c>
      <c r="E46" s="111">
        <v>-1.037741126</v>
      </c>
      <c r="F46" s="111">
        <v>1.73343E-2</v>
      </c>
      <c r="G46" s="111">
        <v>-0.53171803699999998</v>
      </c>
      <c r="H46" s="111">
        <v>-0.76662274900000005</v>
      </c>
      <c r="I46" s="111">
        <v>-0.96255266699999997</v>
      </c>
      <c r="J46" s="111">
        <v>-0.76851974099999998</v>
      </c>
      <c r="K46" s="111">
        <v>-0.60243158399999996</v>
      </c>
      <c r="L46" s="111">
        <f>STANDARDIZE(14.7,17.3,6.6)</f>
        <v>-0.3939393939393942</v>
      </c>
      <c r="M46" s="111">
        <v>2.85825E-2</v>
      </c>
      <c r="N46" s="111">
        <v>-0.43302906299999999</v>
      </c>
      <c r="O46" s="111">
        <v>-0.32799522800000003</v>
      </c>
    </row>
    <row r="47" spans="1:15">
      <c r="A47" t="s">
        <v>161</v>
      </c>
      <c r="B47" s="111">
        <v>-5.9671000000000002E-2</v>
      </c>
      <c r="C47" s="111">
        <v>0.27226634799999999</v>
      </c>
      <c r="D47" s="111">
        <v>0.63183959099999998</v>
      </c>
      <c r="E47" s="111">
        <v>-0.72962481800000001</v>
      </c>
      <c r="F47" s="111">
        <v>0.95842847200000003</v>
      </c>
      <c r="G47" s="111">
        <v>0.27556416299999997</v>
      </c>
      <c r="H47" s="111">
        <v>-0.64331855100000002</v>
      </c>
      <c r="I47" s="111">
        <v>0.81930903700000002</v>
      </c>
      <c r="J47" s="111">
        <v>-0.54257152500000005</v>
      </c>
      <c r="K47" s="111">
        <v>-1.01235911</v>
      </c>
      <c r="L47" s="111">
        <f>STANDARDIZE(25.9,17.3,6.6)</f>
        <v>1.3030303030303028</v>
      </c>
      <c r="M47" s="111">
        <v>-0.49677664900000001</v>
      </c>
      <c r="N47" s="111">
        <v>0.39610569299999998</v>
      </c>
      <c r="O47" s="111">
        <v>1.0120685039999999</v>
      </c>
    </row>
    <row r="48" spans="1:15">
      <c r="A48" t="s">
        <v>162</v>
      </c>
      <c r="B48" s="111">
        <v>-1.598758396</v>
      </c>
      <c r="C48" s="111">
        <v>-0.74214536900000005</v>
      </c>
      <c r="D48" s="111">
        <v>-1.186218131</v>
      </c>
      <c r="E48" s="111">
        <v>-1.245626828</v>
      </c>
      <c r="F48" s="111">
        <v>0.49397319200000001</v>
      </c>
      <c r="G48" s="111">
        <v>-0.27937157200000001</v>
      </c>
      <c r="H48" s="111">
        <v>0.95414177300000003</v>
      </c>
      <c r="I48" s="111">
        <v>5.9825299999999998E-2</v>
      </c>
      <c r="J48" s="111">
        <v>-3.0835999999999999E-2</v>
      </c>
      <c r="K48" s="111">
        <v>0.83276490199999997</v>
      </c>
      <c r="L48" s="111">
        <f>STANDARDIZE(15.5,17.3,6.6)</f>
        <v>-0.27272727272727287</v>
      </c>
      <c r="M48" s="111">
        <v>0.13246249600000001</v>
      </c>
      <c r="N48" s="111">
        <v>-0.28176130900000002</v>
      </c>
      <c r="O48" s="111">
        <v>-1.2263970280000001</v>
      </c>
    </row>
    <row r="49" spans="1:15">
      <c r="A49" t="s">
        <v>163</v>
      </c>
      <c r="B49" s="111">
        <v>1.9320902630000001</v>
      </c>
      <c r="C49" s="111">
        <v>1.540280994</v>
      </c>
      <c r="D49" s="111">
        <v>1.3553442579999999</v>
      </c>
      <c r="E49" s="111">
        <v>0.250407777</v>
      </c>
      <c r="F49" s="111">
        <v>-1.0754300649999999</v>
      </c>
      <c r="G49" s="111">
        <v>-0.16139533</v>
      </c>
      <c r="H49" s="111">
        <v>-0.76662274900000005</v>
      </c>
      <c r="I49" s="111">
        <v>-0.96255266699999997</v>
      </c>
      <c r="J49" s="111">
        <v>-0.76851974099999998</v>
      </c>
      <c r="K49" s="111">
        <v>-0.60243158399999996</v>
      </c>
      <c r="L49" s="111">
        <f>STANDARDIZE(21.8,17.3,6.6)</f>
        <v>0.68181818181818188</v>
      </c>
      <c r="M49" s="111">
        <v>1.137319848</v>
      </c>
      <c r="N49" s="111">
        <v>-0.344303998</v>
      </c>
      <c r="O49" s="111">
        <v>0.447760934</v>
      </c>
    </row>
    <row r="50" spans="1:15">
      <c r="A50" t="s">
        <v>164</v>
      </c>
      <c r="B50" s="111">
        <v>0.55143790199999998</v>
      </c>
      <c r="C50" s="111">
        <v>2.808295641</v>
      </c>
      <c r="D50" s="111">
        <v>1.693026288</v>
      </c>
      <c r="E50" s="111">
        <v>-9.1118732999999993E-2</v>
      </c>
      <c r="F50" s="111">
        <v>0.17346957800000001</v>
      </c>
      <c r="G50" s="111">
        <v>0.84031138100000002</v>
      </c>
      <c r="H50" s="111">
        <v>-1.3837396340000001</v>
      </c>
      <c r="I50" s="111">
        <v>-1.4331688119999999</v>
      </c>
      <c r="J50" s="111">
        <v>-1.3409027010000001</v>
      </c>
      <c r="K50" s="111">
        <v>-1.2392272230000001</v>
      </c>
      <c r="L50" s="111">
        <f>STANDARDIZE(26.2,17.3,6.6)</f>
        <v>1.3484848484848484</v>
      </c>
      <c r="M50" s="111">
        <v>0.29999447400000001</v>
      </c>
      <c r="N50" s="111">
        <v>-0.68771040500000002</v>
      </c>
      <c r="O50" s="111">
        <v>0.20169788799999999</v>
      </c>
    </row>
    <row r="51" spans="1:15">
      <c r="A51" t="s">
        <v>165</v>
      </c>
      <c r="B51" s="111">
        <v>-0.444442489</v>
      </c>
      <c r="C51" s="111">
        <v>-0.65761105900000005</v>
      </c>
      <c r="D51" s="111">
        <v>1.44960665</v>
      </c>
      <c r="E51" s="111">
        <v>-1.323583967</v>
      </c>
      <c r="F51" s="111">
        <v>4.17883E-2</v>
      </c>
      <c r="G51" s="111">
        <v>-8.5924764000000001E-2</v>
      </c>
      <c r="H51" s="111">
        <v>-0.76662274900000005</v>
      </c>
      <c r="I51" s="111">
        <v>-0.96255266699999997</v>
      </c>
      <c r="J51" s="111">
        <v>-0.76851974099999998</v>
      </c>
      <c r="K51" s="111">
        <v>-0.60243158399999996</v>
      </c>
      <c r="L51" s="111">
        <f>STANDARDIZE(28.8,17.3,6.6)</f>
        <v>1.7424242424242424</v>
      </c>
      <c r="M51" s="111">
        <v>-0.286758024</v>
      </c>
      <c r="N51" s="111">
        <v>-0.28757889800000003</v>
      </c>
      <c r="O51" s="111">
        <v>-0.35249768799999998</v>
      </c>
    </row>
    <row r="52" spans="1:15">
      <c r="A52" t="s">
        <v>166</v>
      </c>
      <c r="B52" s="111">
        <v>1.6604865200000001</v>
      </c>
      <c r="C52" s="111">
        <v>0.61040358699999997</v>
      </c>
      <c r="D52" s="111">
        <v>6.1839100000000001E-2</v>
      </c>
      <c r="E52" s="111">
        <v>1.059677118</v>
      </c>
      <c r="F52" s="111">
        <v>0.26440872799999998</v>
      </c>
      <c r="G52" s="111">
        <v>-8.8543662999999995E-2</v>
      </c>
      <c r="H52" s="111">
        <v>-1.3837396340000001</v>
      </c>
      <c r="I52" s="111">
        <v>-1.4331688119999999</v>
      </c>
      <c r="J52" s="111">
        <v>-1.3409027010000001</v>
      </c>
      <c r="K52" s="111">
        <v>-1.2392272230000001</v>
      </c>
      <c r="L52" s="111">
        <f>STANDARDIZE(29.5,17.3,6.6)</f>
        <v>1.8484848484848484</v>
      </c>
      <c r="M52" s="111">
        <v>1.1424615090000001</v>
      </c>
      <c r="N52" s="111">
        <v>-0.12536703900000001</v>
      </c>
      <c r="O52" s="111">
        <v>0.94202362399999995</v>
      </c>
    </row>
    <row r="53" spans="1:15">
      <c r="A53" t="s">
        <v>167</v>
      </c>
      <c r="B53" s="111">
        <v>-1.05555091</v>
      </c>
      <c r="C53" s="111">
        <v>-0.99574829799999998</v>
      </c>
      <c r="D53" s="111">
        <v>-0.88970623299999996</v>
      </c>
      <c r="E53" s="111">
        <v>0.38033634100000002</v>
      </c>
      <c r="F53" s="111">
        <v>-1.9010113200000001</v>
      </c>
      <c r="G53" s="111">
        <v>-2.1266615450000002</v>
      </c>
      <c r="H53" s="111">
        <v>-0.64331855100000002</v>
      </c>
      <c r="I53" s="111">
        <v>0.81930903700000002</v>
      </c>
      <c r="J53" s="111">
        <v>-0.54257152500000005</v>
      </c>
      <c r="K53" s="111">
        <v>-1.01235911</v>
      </c>
      <c r="L53" s="111">
        <f>STANDARDIZE(10.5,17.3,6.6)</f>
        <v>-1.0303030303030305</v>
      </c>
      <c r="M53" s="111">
        <v>-0.29464027100000001</v>
      </c>
      <c r="N53" s="111">
        <v>9.3683032999999999E-2</v>
      </c>
      <c r="O53" s="111">
        <v>3.1317006049999998</v>
      </c>
    </row>
    <row r="54" spans="1:15">
      <c r="A54" t="s">
        <v>168</v>
      </c>
      <c r="B54" s="111">
        <v>-0.10493781000000001</v>
      </c>
      <c r="C54" s="111">
        <v>0.864006516</v>
      </c>
      <c r="D54" s="111">
        <v>0.40874332499999999</v>
      </c>
      <c r="E54" s="111">
        <v>-0.74447379700000005</v>
      </c>
      <c r="F54" s="111">
        <v>-0.25598159599999998</v>
      </c>
      <c r="G54" s="111">
        <v>-0.58203459800000001</v>
      </c>
      <c r="H54" s="111">
        <v>-0.64331855100000002</v>
      </c>
      <c r="I54" s="111">
        <v>0.81930903700000002</v>
      </c>
      <c r="J54" s="111">
        <v>-0.54257152500000005</v>
      </c>
      <c r="K54" s="111">
        <v>-1.01235911</v>
      </c>
      <c r="L54" s="111">
        <f>STANDARDIZE(17.3,17.3,6.6)</f>
        <v>0</v>
      </c>
      <c r="M54" s="111">
        <v>-0.58594052500000005</v>
      </c>
      <c r="N54" s="111">
        <v>-0.33843012</v>
      </c>
      <c r="O54" s="111">
        <v>-0.62231946699999996</v>
      </c>
    </row>
    <row r="55" spans="1:15">
      <c r="A55" t="s">
        <v>169</v>
      </c>
      <c r="B55" s="111">
        <v>1.524684648</v>
      </c>
      <c r="C55" s="111">
        <v>1.371212375</v>
      </c>
      <c r="D55" s="111">
        <v>1.944847311</v>
      </c>
      <c r="E55" s="111">
        <v>-9.1118732999999993E-2</v>
      </c>
      <c r="F55" s="111">
        <v>-1.697295496</v>
      </c>
      <c r="G55" s="111">
        <v>-0.33199105800000001</v>
      </c>
      <c r="H55" s="111">
        <v>-1.3837396340000001</v>
      </c>
      <c r="I55" s="111">
        <v>-1.4331688119999999</v>
      </c>
      <c r="J55" s="111">
        <v>-1.3409027010000001</v>
      </c>
      <c r="K55" s="111">
        <v>-1.2392272230000001</v>
      </c>
      <c r="L55" s="111">
        <f>STANDARDIZE(18.2,17.3,6.6)</f>
        <v>0.13636363636363616</v>
      </c>
      <c r="M55" s="111">
        <v>0.253079153</v>
      </c>
      <c r="N55" s="111">
        <v>-0.68387461900000002</v>
      </c>
      <c r="O55" s="111">
        <v>3.23215E-3</v>
      </c>
    </row>
    <row r="56" spans="1:15">
      <c r="A56" s="121" t="s">
        <v>170</v>
      </c>
      <c r="B56" s="111">
        <v>-0.35390790799999999</v>
      </c>
      <c r="C56" s="111">
        <v>-0.40400813000000002</v>
      </c>
      <c r="D56" s="111">
        <v>-0.64304905499999998</v>
      </c>
      <c r="E56" s="111">
        <v>1.6350750430000001</v>
      </c>
      <c r="F56" s="111">
        <v>-2.2553E-2</v>
      </c>
      <c r="G56" s="111">
        <v>0.63347640299999997</v>
      </c>
      <c r="H56" s="111">
        <v>-1.1454000000000001E-2</v>
      </c>
      <c r="I56" s="111">
        <v>2.9507690499999999</v>
      </c>
      <c r="J56" s="111">
        <v>1.4686199999999999E-3</v>
      </c>
      <c r="K56" s="111">
        <v>-0.42145149999999998</v>
      </c>
      <c r="L56" s="111">
        <f>STANDARDIZE(16,17.3,6.6)</f>
        <v>-0.1969696969696971</v>
      </c>
      <c r="M56" s="111">
        <v>1.8143367269999999</v>
      </c>
      <c r="N56" s="111">
        <v>1.5377414119999999</v>
      </c>
      <c r="O56" s="111">
        <v>-0.44210770700000002</v>
      </c>
    </row>
    <row r="57" spans="1:15">
      <c r="A57" t="s">
        <v>171</v>
      </c>
      <c r="B57" s="111">
        <v>0.14403228800000001</v>
      </c>
      <c r="C57" s="111">
        <v>1.540280994</v>
      </c>
      <c r="D57" s="111">
        <v>-0.19855987</v>
      </c>
      <c r="E57" s="111">
        <v>0.13532819200000001</v>
      </c>
      <c r="F57" s="111">
        <v>2.3889500000000001E-2</v>
      </c>
      <c r="G57" s="111">
        <v>-0.24249976300000001</v>
      </c>
      <c r="H57" s="111">
        <v>-1.3837396340000001</v>
      </c>
      <c r="I57" s="111">
        <v>-1.4331688119999999</v>
      </c>
      <c r="J57" s="111">
        <v>-1.3409027010000001</v>
      </c>
      <c r="K57" s="111">
        <v>-1.2392272230000001</v>
      </c>
      <c r="L57" s="111">
        <f>STANDARDIZE(18.5,17.3,6.6)</f>
        <v>0.18181818181818171</v>
      </c>
      <c r="M57" s="111">
        <v>0.83266950200000001</v>
      </c>
      <c r="N57" s="111">
        <v>0.58684793300000004</v>
      </c>
      <c r="O57" s="111">
        <v>0.44626466100000001</v>
      </c>
    </row>
    <row r="58" spans="1:15">
      <c r="A58" t="s">
        <v>172</v>
      </c>
      <c r="B58" s="111">
        <v>-0.15020510000000001</v>
      </c>
      <c r="C58" s="111">
        <v>0.52586927800000005</v>
      </c>
      <c r="D58" s="111">
        <v>-0.316381299</v>
      </c>
      <c r="E58" s="111">
        <v>-0.37324932900000002</v>
      </c>
      <c r="F58" s="111">
        <v>0.216513498</v>
      </c>
      <c r="G58" s="111">
        <v>-0.49970902900000003</v>
      </c>
      <c r="H58" s="111">
        <v>-0.64331855100000002</v>
      </c>
      <c r="I58" s="111">
        <v>0.81930903700000002</v>
      </c>
      <c r="J58" s="111">
        <v>-0.54257152500000005</v>
      </c>
      <c r="K58" s="111">
        <v>-1.01235911</v>
      </c>
      <c r="L58" s="111">
        <f>STANDARDIZE(18.2,17.3,6.6)</f>
        <v>0.13636363636363616</v>
      </c>
      <c r="M58" s="111">
        <v>0.39863406099999998</v>
      </c>
      <c r="N58" s="111">
        <v>-0.67766958499999996</v>
      </c>
      <c r="O58" s="111">
        <v>9.1316588000000004E-2</v>
      </c>
    </row>
    <row r="59" spans="1:15">
      <c r="A59" t="s">
        <v>173</v>
      </c>
      <c r="B59" s="111">
        <v>0.55143790199999998</v>
      </c>
      <c r="C59" s="111">
        <v>-6.5870891000000001E-2</v>
      </c>
      <c r="D59" s="111">
        <v>0.17157867399999999</v>
      </c>
      <c r="E59" s="111">
        <v>-0.380673818</v>
      </c>
      <c r="F59" s="111">
        <v>0.18610178599999999</v>
      </c>
      <c r="G59" s="111">
        <v>-9.9265707999999994E-2</v>
      </c>
      <c r="H59" s="111">
        <v>-0.64331855100000002</v>
      </c>
      <c r="I59" s="111">
        <v>0.81930903700000002</v>
      </c>
      <c r="J59" s="111">
        <v>-0.54257152500000005</v>
      </c>
      <c r="K59" s="111">
        <v>-1.01235911</v>
      </c>
      <c r="L59" s="111">
        <f>STANDARDIZE(15.2,17.3,6.6)</f>
        <v>-0.3181818181818184</v>
      </c>
      <c r="M59" s="111">
        <v>-0.25241697699999999</v>
      </c>
      <c r="N59" s="111">
        <v>-0.62828680699999995</v>
      </c>
      <c r="O59" s="111">
        <v>0.110265879</v>
      </c>
    </row>
    <row r="60" spans="1:15">
      <c r="A60" t="s">
        <v>174</v>
      </c>
      <c r="B60" s="111">
        <v>0.23456686900000001</v>
      </c>
      <c r="C60" s="111">
        <v>0.77947220699999997</v>
      </c>
      <c r="D60" s="111">
        <v>-0.474310656</v>
      </c>
      <c r="E60" s="111">
        <v>-0.85955338199999998</v>
      </c>
      <c r="F60" s="111">
        <v>1.6112087239999999</v>
      </c>
      <c r="G60" s="111">
        <v>0.86275184699999996</v>
      </c>
      <c r="H60" s="111">
        <v>-0.64331855100000002</v>
      </c>
      <c r="I60" s="111">
        <v>0.81930903700000002</v>
      </c>
      <c r="J60" s="111">
        <v>-0.54257152500000005</v>
      </c>
      <c r="K60" s="111">
        <v>-1.01235911</v>
      </c>
      <c r="L60" s="111">
        <f>STANDARDIZE(20.7,17.3,6.6)</f>
        <v>0.51515151515151492</v>
      </c>
      <c r="M60" s="111">
        <v>-0.82903185099999999</v>
      </c>
      <c r="N60" s="111">
        <v>-0.63947305799999998</v>
      </c>
      <c r="O60" s="111">
        <v>0.59572655600000002</v>
      </c>
    </row>
    <row r="61" spans="1:15">
      <c r="A61" t="s">
        <v>175</v>
      </c>
      <c r="B61" s="111">
        <v>1.434150067</v>
      </c>
      <c r="C61" s="111">
        <v>-0.74214536900000005</v>
      </c>
      <c r="D61" s="111">
        <v>-1.4005386710000001</v>
      </c>
      <c r="E61" s="111">
        <v>1.5014342350000001</v>
      </c>
      <c r="F61" s="111">
        <v>-1.33490785</v>
      </c>
      <c r="G61" s="111">
        <v>-1.026324944</v>
      </c>
      <c r="H61" s="111">
        <v>-0.64331855100000002</v>
      </c>
      <c r="I61" s="111">
        <v>0.81930903700000002</v>
      </c>
      <c r="J61" s="111">
        <v>-0.54257152500000005</v>
      </c>
      <c r="K61" s="111">
        <v>-1.01235911</v>
      </c>
      <c r="L61" s="111">
        <f>STANDARDIZE(6.1,17.3,6.6)</f>
        <v>-1.6969696969696972</v>
      </c>
      <c r="M61" s="111">
        <v>1.1520576579999999</v>
      </c>
      <c r="N61" s="111">
        <v>0.50469312600000005</v>
      </c>
      <c r="O61" s="111">
        <v>0.70406053599999996</v>
      </c>
    </row>
    <row r="62" spans="1:15">
      <c r="A62" t="s">
        <v>176</v>
      </c>
      <c r="B62" s="111">
        <v>5.3497700000000002E-2</v>
      </c>
      <c r="C62" s="111">
        <v>0.77947220699999997</v>
      </c>
      <c r="D62" s="111">
        <v>-0.577833492</v>
      </c>
      <c r="E62" s="111">
        <v>9.4493500999999994E-2</v>
      </c>
      <c r="F62" s="111">
        <v>0.240031888</v>
      </c>
      <c r="G62" s="111">
        <v>-0.37369174900000002</v>
      </c>
      <c r="H62" s="111">
        <v>-0.76662274900000005</v>
      </c>
      <c r="I62" s="111">
        <v>-0.96255266699999997</v>
      </c>
      <c r="J62" s="111">
        <v>-0.76851974099999998</v>
      </c>
      <c r="K62" s="111">
        <v>-0.60243158399999996</v>
      </c>
      <c r="L62" s="111">
        <f>STANDARDIZE(24.8,17.3,6.6)</f>
        <v>1.1363636363636365</v>
      </c>
      <c r="M62" s="111">
        <v>1.0519894599999999</v>
      </c>
      <c r="N62" s="111">
        <v>-0.16913825499999999</v>
      </c>
      <c r="O62" s="111">
        <v>0.20694744700000001</v>
      </c>
    </row>
    <row r="63" spans="1:15">
      <c r="A63" t="s">
        <v>177</v>
      </c>
      <c r="B63" s="111">
        <v>9.8764996999999993E-2</v>
      </c>
      <c r="C63" s="111">
        <v>-0.57307674900000005</v>
      </c>
      <c r="D63" s="111">
        <v>-0.84016384399999999</v>
      </c>
      <c r="E63" s="111">
        <v>-0.20991056299999999</v>
      </c>
      <c r="F63" s="111">
        <v>-0.27242933800000002</v>
      </c>
      <c r="G63" s="111">
        <v>0.57419035900000004</v>
      </c>
      <c r="H63" s="111">
        <v>-0.76662274900000005</v>
      </c>
      <c r="I63" s="111">
        <v>-0.96255266699999997</v>
      </c>
      <c r="J63" s="111">
        <v>-0.76851974099999998</v>
      </c>
      <c r="K63" s="111">
        <v>-0.60243158399999996</v>
      </c>
      <c r="L63" s="111">
        <f>STANDARDIZE(16.2,17.3,6.6)</f>
        <v>-0.16666666666666688</v>
      </c>
      <c r="M63" s="111">
        <v>0.23231073499999999</v>
      </c>
      <c r="N63" s="111">
        <v>0.44943702600000002</v>
      </c>
      <c r="O63" s="111">
        <v>0.45570686300000002</v>
      </c>
    </row>
    <row r="64" spans="1:15">
      <c r="A64" t="s">
        <v>178</v>
      </c>
      <c r="B64" s="111">
        <v>-0.51234342399999999</v>
      </c>
      <c r="C64" s="111">
        <v>-0.23493950999999999</v>
      </c>
      <c r="D64" s="111">
        <v>0.19216919499999999</v>
      </c>
      <c r="E64" s="111">
        <v>-0.26188198800000001</v>
      </c>
      <c r="F64" s="111">
        <v>-0.57495339700000003</v>
      </c>
      <c r="G64" s="111">
        <v>-0.59147123400000001</v>
      </c>
      <c r="H64" s="111">
        <v>-0.76662274900000005</v>
      </c>
      <c r="I64" s="111">
        <v>-0.96255266699999997</v>
      </c>
      <c r="J64" s="111">
        <v>-0.76851974099999998</v>
      </c>
      <c r="K64" s="111">
        <v>-0.60243158399999996</v>
      </c>
      <c r="L64" s="111">
        <f>STANDARDIZE(17.8,17.3,6.6)</f>
        <v>7.575757575757576E-2</v>
      </c>
      <c r="M64" s="111">
        <v>1.2070823900000001</v>
      </c>
      <c r="N64" s="111">
        <v>0.67526666700000004</v>
      </c>
      <c r="O64" s="111">
        <v>-0.17743551399999999</v>
      </c>
    </row>
    <row r="65" spans="1:15">
      <c r="A65" t="s">
        <v>179</v>
      </c>
      <c r="B65" s="111">
        <v>0.57407154800000004</v>
      </c>
      <c r="C65" s="111">
        <v>1.455746685</v>
      </c>
      <c r="D65" s="111">
        <v>-0.50669381899999999</v>
      </c>
      <c r="E65" s="111">
        <v>1.920917883</v>
      </c>
      <c r="F65" s="111">
        <v>1.356010717</v>
      </c>
      <c r="G65" s="111">
        <v>1.089075239</v>
      </c>
      <c r="H65" s="111">
        <v>-0.76662274900000005</v>
      </c>
      <c r="I65" s="111">
        <v>-0.96255266699999997</v>
      </c>
      <c r="J65" s="111">
        <v>-0.76851974099999998</v>
      </c>
      <c r="K65" s="111">
        <v>-0.60243158399999996</v>
      </c>
      <c r="L65" s="111">
        <f>STANDARDIZE(25.2,17.3,6.6)</f>
        <v>1.1969696969696968</v>
      </c>
      <c r="M65" s="111">
        <v>-1.080047397</v>
      </c>
      <c r="N65" s="111">
        <v>-0.38788460299999999</v>
      </c>
      <c r="O65" s="111">
        <v>1.8036024150000001</v>
      </c>
    </row>
    <row r="66" spans="1:15">
      <c r="A66" t="s">
        <v>180</v>
      </c>
      <c r="B66" s="111">
        <v>-0.195472391</v>
      </c>
      <c r="C66" s="111">
        <v>-0.99574829799999998</v>
      </c>
      <c r="D66" s="111">
        <v>1.3635950809999999</v>
      </c>
      <c r="E66" s="111">
        <v>1.7018954470000001</v>
      </c>
      <c r="F66" s="111">
        <v>-0.41482878299999998</v>
      </c>
      <c r="G66" s="111">
        <v>-0.59855893800000004</v>
      </c>
      <c r="H66" s="111">
        <v>1.1050114</v>
      </c>
      <c r="I66" s="111">
        <v>0.60189346399999999</v>
      </c>
      <c r="J66" s="111">
        <v>1.14877812</v>
      </c>
      <c r="K66" s="111">
        <v>1.141954312</v>
      </c>
      <c r="L66" s="111">
        <f>STANDARDIZE(0,17.3,6.6)</f>
        <v>-2.6212121212121215</v>
      </c>
      <c r="M66" s="111">
        <v>-0.58221212600000005</v>
      </c>
      <c r="N66" s="111">
        <v>-0.68422482100000004</v>
      </c>
      <c r="O66" s="111">
        <v>0.24986082000000001</v>
      </c>
    </row>
    <row r="67" spans="1:15">
      <c r="A67" t="s">
        <v>181</v>
      </c>
      <c r="B67" s="111">
        <v>-1.666659332</v>
      </c>
      <c r="C67" s="111">
        <v>-6.5870891000000001E-2</v>
      </c>
      <c r="D67" s="111">
        <v>-0.86378450399999995</v>
      </c>
      <c r="E67" s="111">
        <v>-1.5574553820000001</v>
      </c>
      <c r="F67" s="111">
        <v>-0.27831937000000001</v>
      </c>
      <c r="G67" s="111">
        <v>-0.88945212500000004</v>
      </c>
      <c r="H67" s="111">
        <v>-0.64331855100000002</v>
      </c>
      <c r="I67" s="111">
        <v>0.81930903700000002</v>
      </c>
      <c r="J67" s="111">
        <v>-0.54257152500000005</v>
      </c>
      <c r="K67" s="111">
        <v>-1.01235911</v>
      </c>
      <c r="L67" s="111">
        <f>STANDARDIZE(11.9,17.3,6.6)</f>
        <v>-0.81818181818181823</v>
      </c>
      <c r="M67" s="111">
        <v>-0.192821568</v>
      </c>
      <c r="N67" s="111">
        <v>6.5823067999999998E-2</v>
      </c>
      <c r="O67" s="111">
        <v>-0.47445773899999999</v>
      </c>
    </row>
    <row r="68" spans="1:15">
      <c r="A68" t="s">
        <v>182</v>
      </c>
      <c r="B68" s="111">
        <v>1.049378098</v>
      </c>
      <c r="C68" s="111">
        <v>1.202143755</v>
      </c>
      <c r="D68" s="111">
        <v>0.21147778</v>
      </c>
      <c r="E68" s="111">
        <v>0.23184655400000001</v>
      </c>
      <c r="F68" s="111">
        <v>-0.33812853500000001</v>
      </c>
      <c r="G68" s="111">
        <v>-0.79259331300000002</v>
      </c>
      <c r="H68" s="111">
        <v>-0.76662274900000005</v>
      </c>
      <c r="I68" s="111">
        <v>-0.96255266699999997</v>
      </c>
      <c r="J68" s="111">
        <v>-0.76851974099999998</v>
      </c>
      <c r="K68" s="111">
        <v>-0.60243158399999996</v>
      </c>
      <c r="L68" s="111">
        <f>STANDARDIZE(19.1,17.3,6.6)</f>
        <v>0.27272727272727287</v>
      </c>
      <c r="M68" s="111">
        <v>0.37694183599999997</v>
      </c>
      <c r="N68" s="111">
        <v>-0.32300436900000001</v>
      </c>
      <c r="O68" s="111">
        <v>0.378915106</v>
      </c>
    </row>
    <row r="69" spans="1:15">
      <c r="A69" t="s">
        <v>183</v>
      </c>
      <c r="B69" s="111">
        <v>0.68723977400000003</v>
      </c>
      <c r="C69" s="111">
        <v>0.864006516</v>
      </c>
      <c r="D69" s="111">
        <v>-0.34678707199999997</v>
      </c>
      <c r="E69" s="111">
        <v>-0.36211259499999998</v>
      </c>
      <c r="F69" s="111">
        <v>0.17914282200000001</v>
      </c>
      <c r="G69" s="111">
        <v>-0.28217357300000001</v>
      </c>
      <c r="H69" s="111">
        <v>-1.3837396340000001</v>
      </c>
      <c r="I69" s="111">
        <v>-1.4331688119999999</v>
      </c>
      <c r="J69" s="111">
        <v>-1.3409027010000001</v>
      </c>
      <c r="K69" s="111">
        <v>-1.2392272230000001</v>
      </c>
      <c r="L69" s="111">
        <f>STANDARDIZE(22.7,17.3,6.6)</f>
        <v>0.81818181818181801</v>
      </c>
      <c r="M69" s="111">
        <v>0.73819261700000005</v>
      </c>
      <c r="N69" s="111">
        <v>1.0513019100000001</v>
      </c>
      <c r="O69" s="111">
        <v>-5.7702999999999997E-2</v>
      </c>
    </row>
    <row r="70" spans="1:15">
      <c r="A70" t="s">
        <v>184</v>
      </c>
      <c r="B70" s="111">
        <v>-0.55761071500000003</v>
      </c>
      <c r="C70" s="111">
        <v>1.540280994</v>
      </c>
      <c r="D70" s="111">
        <v>-0.77461197299999995</v>
      </c>
      <c r="E70" s="111">
        <v>0.48427919200000002</v>
      </c>
      <c r="F70" s="111">
        <v>0.230560921</v>
      </c>
      <c r="G70" s="111">
        <v>1.0753328799999999</v>
      </c>
      <c r="H70" s="111">
        <v>1.1050114</v>
      </c>
      <c r="I70" s="111">
        <v>0.60189346399999999</v>
      </c>
      <c r="J70" s="111">
        <v>1.14877812</v>
      </c>
      <c r="K70" s="111">
        <v>1.141954312</v>
      </c>
      <c r="L70" s="111">
        <f>STANDARDIZE(13.2,17.3,6.6)</f>
        <v>-0.62121212121212144</v>
      </c>
      <c r="M70" s="111">
        <v>0.94571161999999998</v>
      </c>
      <c r="N70" s="111">
        <v>-4.5322000000000001E-2</v>
      </c>
      <c r="O70" s="111">
        <v>-0.384941694</v>
      </c>
    </row>
    <row r="71" spans="1:15">
      <c r="A71" t="s">
        <v>185</v>
      </c>
      <c r="B71" s="111">
        <v>-0.15020510000000001</v>
      </c>
      <c r="C71" s="111">
        <v>-1.164816917</v>
      </c>
      <c r="D71" s="111">
        <v>0.62677317099999996</v>
      </c>
      <c r="E71" s="111">
        <v>-1.5203329350000001</v>
      </c>
      <c r="F71" s="111">
        <v>-0.88604543800000002</v>
      </c>
      <c r="G71" s="111">
        <v>-1.0271724799999999</v>
      </c>
      <c r="H71" s="111">
        <v>1.1050114</v>
      </c>
      <c r="I71" s="111">
        <v>0.60189346399999999</v>
      </c>
      <c r="J71" s="111">
        <v>1.14877812</v>
      </c>
      <c r="K71" s="111">
        <v>1.141954312</v>
      </c>
      <c r="L71" s="111">
        <f>STANDARDIZE(10.4,17.3,6.6)</f>
        <v>-1.0454545454545456</v>
      </c>
      <c r="M71" s="111">
        <v>-0.700274073</v>
      </c>
      <c r="N71" s="111">
        <v>0.53931220800000002</v>
      </c>
      <c r="O71" s="111">
        <v>-1.1618542489999999</v>
      </c>
    </row>
    <row r="72" spans="1:15">
      <c r="A72" t="s">
        <v>186</v>
      </c>
      <c r="B72" s="111">
        <v>1.253080905</v>
      </c>
      <c r="C72" s="111">
        <v>-0.15040519999999999</v>
      </c>
      <c r="D72" s="111">
        <v>0.55834010700000003</v>
      </c>
      <c r="E72" s="111">
        <v>0.35435062899999997</v>
      </c>
      <c r="F72" s="111">
        <v>0.15787431199999999</v>
      </c>
      <c r="G72" s="111">
        <v>1.0432041919999999</v>
      </c>
      <c r="H72" s="111">
        <v>1.1050114</v>
      </c>
      <c r="I72" s="111">
        <v>0.60189346399999999</v>
      </c>
      <c r="J72" s="111">
        <v>1.14877812</v>
      </c>
      <c r="K72" s="111">
        <v>1.141954312</v>
      </c>
      <c r="L72" s="111"/>
      <c r="M72" s="111">
        <v>0.77242641899999998</v>
      </c>
      <c r="N72" s="111">
        <v>0.45709008899999998</v>
      </c>
      <c r="O72" s="111">
        <v>-0.32523159699999998</v>
      </c>
    </row>
    <row r="73" spans="1:15">
      <c r="A73" t="s">
        <v>187</v>
      </c>
      <c r="B73" s="111">
        <v>-0.693412586</v>
      </c>
      <c r="C73" s="111">
        <v>-0.15040519999999999</v>
      </c>
      <c r="D73" s="111">
        <v>3.60983E-2</v>
      </c>
      <c r="E73" s="111">
        <v>1.0671016069999999</v>
      </c>
      <c r="F73" s="111">
        <v>0.28049179600000002</v>
      </c>
      <c r="G73" s="111">
        <v>0.230964734</v>
      </c>
      <c r="H73" s="111">
        <v>1.0392302149999999</v>
      </c>
      <c r="I73" s="111">
        <v>3.1060522320000001</v>
      </c>
      <c r="J73" s="111">
        <v>2.097591881</v>
      </c>
      <c r="K73" s="111">
        <v>0.56293008300000003</v>
      </c>
      <c r="L73" s="111">
        <f>STANDARDIZE(18.9,17.3,6.6)</f>
        <v>0.24242424242424213</v>
      </c>
      <c r="M73" s="111">
        <v>2.9841382420000002</v>
      </c>
      <c r="N73" s="111">
        <v>0.46032319500000002</v>
      </c>
      <c r="O73" s="111">
        <v>-5.3286E-2</v>
      </c>
    </row>
    <row r="74" spans="1:15">
      <c r="A74" t="s">
        <v>188</v>
      </c>
      <c r="B74" s="111">
        <v>-1.689292977</v>
      </c>
      <c r="C74" s="111">
        <v>-6.5870891000000001E-2</v>
      </c>
      <c r="D74" s="111">
        <v>-7.2665136000000005E-2</v>
      </c>
      <c r="E74" s="111">
        <v>-1.57972885</v>
      </c>
      <c r="F74" s="111">
        <v>-0.240898845</v>
      </c>
      <c r="G74" s="111">
        <v>-0.25624250199999998</v>
      </c>
      <c r="H74" s="111">
        <v>-1.3837396340000001</v>
      </c>
      <c r="I74" s="111">
        <v>-1.4331688119999999</v>
      </c>
      <c r="J74" s="111">
        <v>-1.3409027010000001</v>
      </c>
      <c r="K74" s="111">
        <v>-1.2392272230000001</v>
      </c>
      <c r="L74" s="111">
        <f>STANDARDIZE(16.4,17.3,6.6)</f>
        <v>-0.13636363636363669</v>
      </c>
      <c r="M74" s="111">
        <v>0.13988062500000001</v>
      </c>
      <c r="N74" s="111">
        <v>-0.38666473200000001</v>
      </c>
      <c r="O74" s="111">
        <v>-1.147408032</v>
      </c>
    </row>
    <row r="75" spans="1:15">
      <c r="A75" t="s">
        <v>189</v>
      </c>
      <c r="B75" s="111">
        <v>-0.71604623099999998</v>
      </c>
      <c r="C75" s="111">
        <v>0.103197729</v>
      </c>
      <c r="D75" s="111">
        <v>-0.54624007799999996</v>
      </c>
      <c r="E75" s="111">
        <v>0.90376284100000004</v>
      </c>
      <c r="F75" s="111">
        <v>-0.549557984</v>
      </c>
      <c r="G75" s="111">
        <v>-0.20827420299999999</v>
      </c>
      <c r="H75" s="111">
        <v>-0.64331855100000002</v>
      </c>
      <c r="I75" s="111">
        <v>0.81930903700000002</v>
      </c>
      <c r="J75" s="111">
        <v>-0.54257152500000005</v>
      </c>
      <c r="K75" s="111">
        <v>-1.01235911</v>
      </c>
      <c r="L75" s="111">
        <f>STANDARDIZE(14.2,17.3,6.6)</f>
        <v>-0.46969696969696995</v>
      </c>
      <c r="M75" s="111">
        <v>1.1046984529999999</v>
      </c>
      <c r="N75" s="111">
        <v>-0.72956231699999996</v>
      </c>
      <c r="O75" s="111">
        <v>0.24496980700000001</v>
      </c>
    </row>
    <row r="76" spans="1:15">
      <c r="A76" t="s">
        <v>190</v>
      </c>
      <c r="B76" s="111">
        <v>-0.28600697200000003</v>
      </c>
      <c r="C76" s="111">
        <v>1.86634E-2</v>
      </c>
      <c r="D76" s="111">
        <v>1.031150367</v>
      </c>
      <c r="E76" s="111">
        <v>-9.8543222E-2</v>
      </c>
      <c r="F76" s="111">
        <v>-0.676336724</v>
      </c>
      <c r="G76" s="111">
        <v>-1.0081525469999999</v>
      </c>
      <c r="H76" s="111">
        <v>1.1050114</v>
      </c>
      <c r="I76" s="111">
        <v>0.60189346399999999</v>
      </c>
      <c r="J76" s="111">
        <v>1.14877812</v>
      </c>
      <c r="K76" s="111">
        <v>1.141954312</v>
      </c>
      <c r="L76" s="111">
        <f>STANDARDIZE(19.2,17.3,6.6)</f>
        <v>0.28787878787878768</v>
      </c>
      <c r="M76" s="111">
        <v>-0.47853506000000001</v>
      </c>
      <c r="N76" s="111">
        <v>-0.10476744</v>
      </c>
      <c r="O76" s="111">
        <v>-1.4575583050000001</v>
      </c>
    </row>
    <row r="77" spans="1:15">
      <c r="A77" t="s">
        <v>191</v>
      </c>
      <c r="B77" s="111">
        <v>-0.64814529600000004</v>
      </c>
      <c r="C77" s="111">
        <v>-1.5029541559999999</v>
      </c>
      <c r="D77" s="111">
        <v>-0.34044543500000002</v>
      </c>
      <c r="E77" s="111">
        <v>6.10833E-2</v>
      </c>
      <c r="F77" s="111">
        <v>-1.804388165</v>
      </c>
      <c r="G77" s="111">
        <v>-0.80594015500000005</v>
      </c>
      <c r="H77" s="111">
        <v>1.1050114</v>
      </c>
      <c r="I77" s="111">
        <v>0.60189346399999999</v>
      </c>
      <c r="J77" s="111">
        <v>1.14877812</v>
      </c>
      <c r="K77" s="111">
        <v>1.141954312</v>
      </c>
      <c r="L77" s="111">
        <f>STANDARDIZE(15.3,17.3,6.6)</f>
        <v>-0.30303030303030304</v>
      </c>
      <c r="M77" s="111">
        <v>-0.95113487399999996</v>
      </c>
      <c r="N77" s="111">
        <v>-0.78389230600000004</v>
      </c>
      <c r="O77" s="111">
        <v>0.43623903800000002</v>
      </c>
    </row>
    <row r="78" spans="1:15">
      <c r="A78" t="s">
        <v>192</v>
      </c>
      <c r="B78" s="111">
        <f>STANDARDIZE(13.9,17.5,4.4)</f>
        <v>-0.81818181818181801</v>
      </c>
      <c r="C78" s="111">
        <v>-0.23493950999999999</v>
      </c>
      <c r="D78" s="111">
        <v>-0.70816183300000002</v>
      </c>
      <c r="E78" s="111">
        <v>-0.46605544599999998</v>
      </c>
      <c r="F78" s="111">
        <v>0.800059611</v>
      </c>
      <c r="G78" s="111">
        <v>0.376167849</v>
      </c>
      <c r="H78" s="111">
        <v>1.1050114</v>
      </c>
      <c r="I78" s="111">
        <v>0.60189346399999999</v>
      </c>
      <c r="J78" s="111">
        <v>1.14877812</v>
      </c>
      <c r="K78" s="111">
        <v>1.141954312</v>
      </c>
      <c r="L78" s="111">
        <f>STANDARDIZE(10.5,17.3,6.6)</f>
        <v>-1.0303030303030305</v>
      </c>
      <c r="M78" s="111">
        <v>6.6032146999999999E-2</v>
      </c>
      <c r="N78" s="111">
        <v>1.754067646</v>
      </c>
      <c r="O78" s="111">
        <v>-0.25932992700000002</v>
      </c>
    </row>
    <row r="79" spans="1:15">
      <c r="A79" t="s">
        <v>193</v>
      </c>
      <c r="B79" s="111">
        <f>STANDARDIZE(16.9,17.5,4.4)</f>
        <v>-0.13636363636363669</v>
      </c>
      <c r="C79" s="111"/>
      <c r="D79" s="111"/>
      <c r="E79" s="111"/>
      <c r="F79" s="111"/>
      <c r="G79" s="111"/>
      <c r="H79" s="111"/>
      <c r="I79" s="111"/>
      <c r="J79" s="111"/>
      <c r="K79" s="111"/>
      <c r="L79" s="111"/>
      <c r="M79" s="111"/>
      <c r="N79" s="111"/>
    </row>
    <row r="80" spans="1:15">
      <c r="A80" t="s">
        <v>194</v>
      </c>
      <c r="B80" s="111">
        <f>STANDARDIZE(6.7,17.5,4.4)</f>
        <v>-2.4545454545454546</v>
      </c>
      <c r="C80" s="111"/>
      <c r="D80" s="111"/>
      <c r="E80" s="111"/>
      <c r="F80" s="111"/>
      <c r="G80" s="111"/>
      <c r="H80" s="111"/>
      <c r="I80" s="111"/>
      <c r="J80" s="111"/>
      <c r="K80" s="111"/>
      <c r="L80" s="111"/>
      <c r="M80" s="111"/>
      <c r="N80" s="111"/>
    </row>
    <row r="81" spans="1:18">
      <c r="A81" t="s">
        <v>195</v>
      </c>
      <c r="B81" s="111">
        <f>STANDARDIZE(13.1,17.5,4.4)</f>
        <v>-1</v>
      </c>
      <c r="C81" s="111"/>
      <c r="D81" s="111"/>
      <c r="E81" s="111"/>
      <c r="F81" s="111"/>
      <c r="G81" s="111"/>
      <c r="H81" s="111"/>
      <c r="I81" s="111"/>
      <c r="J81" s="111"/>
      <c r="K81" s="111"/>
      <c r="L81" s="111"/>
      <c r="M81" s="111"/>
      <c r="N81" s="111"/>
    </row>
    <row r="82" spans="1:18">
      <c r="A82" t="s">
        <v>196</v>
      </c>
      <c r="B82" s="111">
        <f>STANDARDIZE(18.1,17.5,4.4)</f>
        <v>0.13636363636363669</v>
      </c>
      <c r="C82" s="111"/>
      <c r="D82" s="111"/>
      <c r="E82" s="111"/>
      <c r="F82" s="111"/>
      <c r="G82" s="111"/>
      <c r="H82" s="111"/>
      <c r="I82" s="111"/>
      <c r="J82" s="111"/>
      <c r="K82" s="111"/>
      <c r="L82" s="111"/>
      <c r="M82" s="111"/>
      <c r="N82" s="111"/>
    </row>
    <row r="83" spans="1:18">
      <c r="A83" t="s">
        <v>197</v>
      </c>
      <c r="B83" s="111">
        <f>STANDARDIZE(43.2,17.5,4.4)</f>
        <v>5.8409090909090908</v>
      </c>
      <c r="C83" s="111"/>
      <c r="D83" s="111"/>
      <c r="E83" s="111"/>
      <c r="F83" s="111"/>
      <c r="G83" s="111"/>
      <c r="H83" s="111"/>
      <c r="I83" s="111"/>
      <c r="J83" s="111"/>
      <c r="K83" s="111"/>
      <c r="L83" s="111"/>
      <c r="M83" s="111"/>
      <c r="N83" s="111"/>
    </row>
    <row r="84" spans="1:18">
      <c r="A84" t="s">
        <v>198</v>
      </c>
      <c r="B84" s="111">
        <f>STANDARDIZE(14.5,17.5,4.4)</f>
        <v>-0.68181818181818177</v>
      </c>
      <c r="C84" s="111"/>
      <c r="D84" s="111"/>
      <c r="E84" s="111"/>
      <c r="F84" s="111"/>
      <c r="G84" s="111"/>
      <c r="H84" s="111"/>
      <c r="I84" s="111"/>
      <c r="J84" s="111"/>
      <c r="K84" s="111"/>
      <c r="L84" s="111"/>
      <c r="M84" s="111"/>
      <c r="N84" s="111"/>
    </row>
    <row r="85" spans="1:18">
      <c r="A85" t="s">
        <v>199</v>
      </c>
      <c r="B85" s="111">
        <f>STANDARDIZE(16.7,17.5,4.4)</f>
        <v>-0.18181818181818196</v>
      </c>
      <c r="C85" s="111"/>
      <c r="D85" s="111"/>
      <c r="E85" s="111"/>
      <c r="F85" s="111"/>
      <c r="G85" s="111"/>
      <c r="H85" s="111"/>
      <c r="I85" s="111"/>
      <c r="J85" s="111"/>
      <c r="K85" s="111"/>
      <c r="L85" s="111"/>
      <c r="M85" s="111"/>
      <c r="N85" s="111"/>
    </row>
    <row r="86" spans="1:18">
      <c r="A86" t="s">
        <v>200</v>
      </c>
      <c r="B86" s="111">
        <f>STANDARDIZE(26.1,17.5,4.4)</f>
        <v>1.9545454545454548</v>
      </c>
      <c r="C86" s="111"/>
      <c r="D86" s="111"/>
      <c r="E86" s="111"/>
      <c r="F86" s="111"/>
      <c r="G86" s="111"/>
      <c r="H86" s="111"/>
      <c r="I86" s="111"/>
      <c r="J86" s="111"/>
      <c r="K86" s="111"/>
      <c r="L86" s="111"/>
      <c r="M86" s="111"/>
      <c r="N86" s="111"/>
    </row>
    <row r="87" spans="1:18">
      <c r="A87" t="s">
        <v>201</v>
      </c>
      <c r="B87" s="111">
        <f>STANDARDIZE(32.7,17.5,4.4)</f>
        <v>3.454545454545455</v>
      </c>
      <c r="C87" s="111"/>
      <c r="D87" s="111"/>
      <c r="E87" s="111"/>
      <c r="F87" s="111"/>
      <c r="G87" s="111"/>
      <c r="H87" s="111"/>
      <c r="I87" s="111"/>
      <c r="J87" s="111"/>
      <c r="K87" s="111"/>
      <c r="L87" s="111"/>
      <c r="M87" s="111"/>
      <c r="N87" s="111"/>
    </row>
    <row r="88" spans="1:18">
      <c r="A88" t="s">
        <v>202</v>
      </c>
      <c r="B88" s="111">
        <f>STANDARDIZE(13.2,17.5,4.4)</f>
        <v>-0.9772727272727274</v>
      </c>
      <c r="C88" s="111"/>
      <c r="D88" s="111"/>
      <c r="E88" s="111"/>
      <c r="F88" s="111"/>
      <c r="G88" s="111"/>
      <c r="H88" s="111"/>
      <c r="I88" s="111"/>
      <c r="J88" s="111"/>
      <c r="K88" s="111"/>
      <c r="L88" s="111"/>
      <c r="M88" s="111"/>
      <c r="N88" s="111"/>
      <c r="O88" s="111"/>
      <c r="P88" s="111"/>
      <c r="Q88" s="111"/>
      <c r="R88" s="111"/>
    </row>
    <row r="89" spans="1:18">
      <c r="A89" t="s">
        <v>203</v>
      </c>
      <c r="B89" s="111">
        <f>STANDARDIZE(11.8,17.5,4.4)</f>
        <v>-1.2954545454545452</v>
      </c>
      <c r="C89" s="111"/>
      <c r="D89" s="111"/>
      <c r="E89" s="111"/>
      <c r="F89" s="111"/>
      <c r="G89" s="111"/>
      <c r="H89" s="111"/>
      <c r="I89" s="111"/>
      <c r="J89" s="111"/>
      <c r="K89" s="111"/>
      <c r="L89" s="111"/>
      <c r="M89" s="111"/>
      <c r="N89" s="111"/>
      <c r="O89" s="111"/>
      <c r="P89" s="111"/>
      <c r="Q89" s="111"/>
      <c r="R89" s="111"/>
    </row>
    <row r="90" spans="1:18">
      <c r="A90" t="s">
        <v>204</v>
      </c>
      <c r="B90" s="111">
        <f>STANDARDIZE(13.1,17.5,4.4)</f>
        <v>-1</v>
      </c>
      <c r="C90" s="111"/>
      <c r="D90" s="111"/>
      <c r="E90" s="111"/>
      <c r="F90" s="111"/>
      <c r="G90" s="111"/>
      <c r="H90" s="111"/>
      <c r="I90" s="111"/>
      <c r="J90" s="111"/>
      <c r="K90" s="111"/>
      <c r="L90" s="111"/>
      <c r="M90" s="111"/>
      <c r="N90" s="111"/>
      <c r="O90" s="111"/>
      <c r="P90" s="111"/>
      <c r="Q90" s="111"/>
      <c r="R90" s="111"/>
    </row>
    <row r="91" spans="1:18">
      <c r="A91" t="s">
        <v>205</v>
      </c>
      <c r="B91" s="111">
        <f>STANDARDIZE(3.2,17.5,4.4)</f>
        <v>-3.25</v>
      </c>
      <c r="C91" s="111"/>
      <c r="D91" s="111"/>
      <c r="E91" s="111"/>
      <c r="F91" s="111"/>
      <c r="G91" s="111"/>
      <c r="H91" s="111"/>
      <c r="I91" s="111"/>
      <c r="J91" s="111"/>
      <c r="K91" s="111"/>
      <c r="L91" s="111"/>
      <c r="M91" s="111"/>
      <c r="N91" s="111"/>
      <c r="O91" s="111"/>
      <c r="P91" s="111"/>
      <c r="Q91" s="111"/>
      <c r="R91" s="111"/>
    </row>
    <row r="92" spans="1:18">
      <c r="A92" t="s">
        <v>206</v>
      </c>
      <c r="B92" s="111">
        <f>STANDARDIZE(6.8,17.5,4.4)</f>
        <v>-2.4318181818181817</v>
      </c>
      <c r="C92" s="111"/>
      <c r="D92" s="111"/>
      <c r="E92" s="111"/>
      <c r="F92" s="111"/>
      <c r="G92" s="111"/>
      <c r="H92" s="111"/>
      <c r="I92" s="111"/>
      <c r="J92" s="111"/>
      <c r="K92" s="111"/>
      <c r="L92" s="111"/>
      <c r="M92" s="111"/>
      <c r="N92" s="111"/>
      <c r="O92" s="111"/>
      <c r="P92" s="111"/>
      <c r="Q92" s="111"/>
      <c r="R92" s="111"/>
    </row>
    <row r="93" spans="1:18">
      <c r="A93" t="s">
        <v>207</v>
      </c>
      <c r="B93" s="111">
        <f t="shared" ref="B93" si="0">STANDARDIZE(13.2,17.5,4.4)</f>
        <v>-0.9772727272727274</v>
      </c>
      <c r="C93" s="111"/>
      <c r="D93" s="111"/>
      <c r="E93" s="111"/>
      <c r="F93" s="111"/>
      <c r="G93" s="111"/>
      <c r="H93" s="111"/>
      <c r="I93" s="111"/>
      <c r="J93" s="111"/>
      <c r="K93" s="111"/>
      <c r="L93" s="111"/>
      <c r="M93" s="111"/>
      <c r="N93" s="111"/>
      <c r="O93" s="111"/>
      <c r="P93" s="111"/>
      <c r="Q93" s="111"/>
      <c r="R93" s="111"/>
    </row>
    <row r="94" spans="1:18">
      <c r="A94" t="s">
        <v>208</v>
      </c>
      <c r="B94" s="111">
        <f>STANDARDIZE(1.1,17.5,4.4)</f>
        <v>-3.7272727272727266</v>
      </c>
      <c r="C94" s="111"/>
      <c r="D94" s="111"/>
      <c r="E94" s="111"/>
      <c r="F94" s="111"/>
      <c r="G94" s="111"/>
      <c r="H94" s="111"/>
      <c r="I94" s="111"/>
      <c r="J94" s="111"/>
      <c r="K94" s="111"/>
      <c r="L94" s="111"/>
      <c r="M94" s="111"/>
      <c r="N94" s="111"/>
      <c r="O94" s="111"/>
      <c r="P94" s="111"/>
      <c r="Q94" s="111"/>
      <c r="R94" s="111"/>
    </row>
    <row r="95" spans="1:18">
      <c r="A95" t="s">
        <v>209</v>
      </c>
      <c r="B95" s="111">
        <f>STANDARDIZE(9.6,17.5,4.4)</f>
        <v>-1.7954545454545454</v>
      </c>
      <c r="C95" s="111"/>
      <c r="D95" s="111"/>
      <c r="E95" s="111"/>
      <c r="F95" s="111"/>
      <c r="G95" s="111"/>
      <c r="H95" s="111"/>
      <c r="I95" s="111"/>
      <c r="J95" s="111"/>
      <c r="K95" s="111"/>
      <c r="L95" s="111"/>
      <c r="M95" s="111"/>
      <c r="N95" s="111"/>
      <c r="O95" s="111"/>
      <c r="P95" s="111"/>
      <c r="Q95" s="111"/>
      <c r="R95" s="111"/>
    </row>
    <row r="96" spans="1:18">
      <c r="A96" t="s">
        <v>210</v>
      </c>
      <c r="B96" s="111">
        <f>STANDARDIZE(8.1,17.5,4.4)</f>
        <v>-2.1363636363636362</v>
      </c>
      <c r="C96" s="111"/>
      <c r="D96" s="111"/>
      <c r="E96" s="111"/>
      <c r="F96" s="111"/>
      <c r="G96" s="111"/>
      <c r="H96" s="111"/>
      <c r="I96" s="111"/>
      <c r="J96" s="111"/>
      <c r="K96" s="111"/>
      <c r="L96" s="111"/>
      <c r="M96" s="111"/>
      <c r="N96" s="111"/>
      <c r="O96" s="111"/>
      <c r="P96" s="111"/>
      <c r="Q96" s="111"/>
      <c r="R96" s="111"/>
    </row>
    <row r="97" spans="1:18">
      <c r="A97" t="s">
        <v>211</v>
      </c>
      <c r="B97" s="111">
        <f>STANDARDIZE(8.7,17.5,4.4)</f>
        <v>-2</v>
      </c>
      <c r="C97" s="111"/>
      <c r="D97" s="111"/>
      <c r="E97" s="111"/>
      <c r="F97" s="111"/>
      <c r="G97" s="111"/>
      <c r="H97" s="111"/>
      <c r="I97" s="111"/>
      <c r="J97" s="111"/>
      <c r="K97" s="111"/>
      <c r="L97" s="111"/>
      <c r="M97" s="111"/>
      <c r="N97" s="111"/>
      <c r="O97" s="111"/>
      <c r="P97" s="111"/>
      <c r="Q97" s="111"/>
      <c r="R97" s="111"/>
    </row>
    <row r="98" spans="1:18">
      <c r="A98" t="s">
        <v>212</v>
      </c>
      <c r="B98" s="111">
        <f>STANDARDIZE(11.3,17.5,4.4)</f>
        <v>-1.4090909090909087</v>
      </c>
      <c r="C98" s="111"/>
      <c r="D98" s="111"/>
      <c r="E98" s="111"/>
      <c r="F98" s="111"/>
      <c r="G98" s="111"/>
      <c r="H98" s="111"/>
      <c r="I98" s="111"/>
      <c r="J98" s="111"/>
      <c r="K98" s="111"/>
      <c r="L98" s="111"/>
      <c r="M98" s="111"/>
      <c r="N98" s="111"/>
      <c r="O98" s="111"/>
      <c r="P98" s="111"/>
      <c r="Q98" s="111"/>
      <c r="R98" s="111"/>
    </row>
    <row r="99" spans="1:18">
      <c r="A99" t="s">
        <v>213</v>
      </c>
      <c r="B99" s="111">
        <f>STANDARDIZE(31.8,17.5,4.4)</f>
        <v>3.25</v>
      </c>
      <c r="C99" s="111"/>
      <c r="D99" s="111"/>
      <c r="E99" s="111"/>
      <c r="F99" s="111"/>
      <c r="G99" s="111"/>
      <c r="H99" s="111"/>
      <c r="I99" s="111"/>
      <c r="J99" s="111"/>
      <c r="K99" s="111"/>
      <c r="L99" s="111"/>
      <c r="M99" s="111"/>
      <c r="N99" s="111"/>
      <c r="O99" s="111"/>
      <c r="P99" s="111"/>
      <c r="Q99" s="111"/>
      <c r="R99" s="111"/>
    </row>
    <row r="100" spans="1:18">
      <c r="A100" t="s">
        <v>214</v>
      </c>
      <c r="B100" s="111">
        <f>STANDARDIZE(22.5,17.5,4.4)</f>
        <v>1.1363636363636362</v>
      </c>
      <c r="C100" s="111"/>
      <c r="D100" s="111"/>
      <c r="E100" s="111"/>
      <c r="F100" s="111"/>
      <c r="G100" s="111"/>
      <c r="H100" s="111"/>
      <c r="I100" s="111"/>
      <c r="J100" s="111"/>
      <c r="K100" s="111"/>
      <c r="L100" s="111"/>
      <c r="M100" s="111"/>
      <c r="N100" s="111"/>
      <c r="O100" s="111"/>
      <c r="P100" s="111"/>
      <c r="Q100" s="111"/>
      <c r="R100" s="111"/>
    </row>
    <row r="101" spans="1:18">
      <c r="A101" t="s">
        <v>215</v>
      </c>
      <c r="B101" s="111">
        <f>STANDARDIZE(20.5,17.5,4.4)</f>
        <v>0.68181818181818177</v>
      </c>
      <c r="C101" s="111"/>
      <c r="D101" s="111"/>
      <c r="E101" s="111"/>
      <c r="F101" s="111"/>
      <c r="G101" s="111"/>
      <c r="H101" s="111"/>
      <c r="I101" s="111"/>
      <c r="J101" s="111"/>
      <c r="K101" s="111"/>
      <c r="L101" s="111"/>
      <c r="M101" s="111"/>
      <c r="N101" s="111"/>
      <c r="O101" s="111"/>
      <c r="P101" s="111"/>
      <c r="Q101" s="111"/>
      <c r="R101" s="111"/>
    </row>
    <row r="102" spans="1:18">
      <c r="A102" t="s">
        <v>216</v>
      </c>
      <c r="B102" s="111">
        <f>STANDARDIZE(13.7,17.5,4.4)</f>
        <v>-0.86363636363636376</v>
      </c>
      <c r="C102" s="111"/>
      <c r="D102" s="111"/>
      <c r="E102" s="111"/>
      <c r="F102" s="111"/>
      <c r="G102" s="111"/>
      <c r="H102" s="111"/>
      <c r="I102" s="111"/>
      <c r="J102" s="111"/>
      <c r="K102" s="111"/>
      <c r="L102" s="111"/>
      <c r="M102" s="111"/>
      <c r="N102" s="111"/>
      <c r="O102" s="111"/>
      <c r="P102" s="111"/>
      <c r="Q102" s="111"/>
      <c r="R102" s="111"/>
    </row>
    <row r="103" spans="1:18">
      <c r="A103" t="s">
        <v>217</v>
      </c>
      <c r="B103" s="111">
        <f>STANDARDIZE(24.9,17.5,4.4)</f>
        <v>1.6818181818181814</v>
      </c>
      <c r="C103" s="111"/>
      <c r="D103" s="111"/>
      <c r="E103" s="111"/>
      <c r="F103" s="111"/>
      <c r="G103" s="111"/>
      <c r="H103" s="111"/>
      <c r="I103" s="111"/>
      <c r="J103" s="111"/>
      <c r="K103" s="111"/>
      <c r="L103" s="111"/>
      <c r="M103" s="111"/>
      <c r="N103" s="111"/>
      <c r="O103" s="111"/>
      <c r="P103" s="111"/>
      <c r="Q103" s="111"/>
      <c r="R103" s="111"/>
    </row>
    <row r="104" spans="1:18">
      <c r="A104" t="s">
        <v>218</v>
      </c>
      <c r="B104" s="111">
        <f>STANDARDIZE(25.3,17.5,4.4)</f>
        <v>1.7727272727272727</v>
      </c>
      <c r="C104" s="111"/>
      <c r="D104" s="111"/>
      <c r="E104" s="111"/>
      <c r="F104" s="111"/>
      <c r="G104" s="111"/>
      <c r="H104" s="111"/>
      <c r="I104" s="111"/>
      <c r="J104" s="111"/>
      <c r="K104" s="111"/>
      <c r="L104" s="111"/>
      <c r="M104" s="111"/>
      <c r="N104" s="111"/>
      <c r="O104" s="111"/>
      <c r="P104" s="111"/>
      <c r="Q104" s="111"/>
      <c r="R104" s="111"/>
    </row>
    <row r="105" spans="1:18">
      <c r="A105" t="s">
        <v>219</v>
      </c>
      <c r="B105" s="111">
        <f>STANDARDIZE(29.5,17.5,4.4)</f>
        <v>2.7272727272727271</v>
      </c>
      <c r="C105" s="111"/>
      <c r="D105" s="111"/>
      <c r="E105" s="111"/>
      <c r="F105" s="111"/>
      <c r="G105" s="111"/>
      <c r="H105" s="111"/>
      <c r="I105" s="111"/>
      <c r="J105" s="111"/>
      <c r="K105" s="111"/>
      <c r="L105" s="111"/>
      <c r="M105" s="111"/>
      <c r="N105" s="111"/>
      <c r="O105" s="111"/>
      <c r="P105" s="111"/>
      <c r="Q105" s="111"/>
      <c r="R105" s="111"/>
    </row>
    <row r="106" spans="1:18">
      <c r="A106" t="s">
        <v>220</v>
      </c>
      <c r="B106" s="111">
        <f>STANDARDIZE(21.9,17.5,4.4)</f>
        <v>0.99999999999999956</v>
      </c>
      <c r="C106" s="111"/>
      <c r="D106" s="111"/>
      <c r="E106" s="111"/>
      <c r="F106" s="111"/>
      <c r="G106" s="111"/>
      <c r="H106" s="111"/>
      <c r="I106" s="111"/>
      <c r="J106" s="111"/>
      <c r="K106" s="111"/>
      <c r="L106" s="111"/>
      <c r="M106" s="111"/>
      <c r="N106" s="111"/>
      <c r="O106" s="111"/>
      <c r="P106" s="111"/>
      <c r="Q106" s="111"/>
      <c r="R106" s="111"/>
    </row>
    <row r="107" spans="1:18">
      <c r="A107" t="s">
        <v>221</v>
      </c>
      <c r="B107" s="111">
        <f>STANDARDIZE(40.2,17.5,4.4)</f>
        <v>5.1590909090909092</v>
      </c>
      <c r="C107" s="111"/>
      <c r="D107" s="111"/>
      <c r="E107" s="111"/>
      <c r="F107" s="111"/>
      <c r="G107" s="111"/>
      <c r="H107" s="111"/>
      <c r="I107" s="111"/>
      <c r="J107" s="111"/>
      <c r="K107" s="111"/>
      <c r="L107" s="111"/>
      <c r="M107" s="111"/>
      <c r="N107" s="111"/>
      <c r="O107" s="111"/>
      <c r="P107" s="111"/>
      <c r="Q107" s="111"/>
      <c r="R107" s="111"/>
    </row>
    <row r="108" spans="1:18">
      <c r="A108" t="s">
        <v>222</v>
      </c>
      <c r="B108" s="111">
        <f>STANDARDIZE(27.5,17.5,4.4)</f>
        <v>2.2727272727272725</v>
      </c>
      <c r="C108" s="111"/>
      <c r="D108" s="111"/>
      <c r="E108" s="111"/>
      <c r="F108" s="111"/>
      <c r="G108" s="111"/>
      <c r="H108" s="111"/>
      <c r="I108" s="111"/>
      <c r="J108" s="111"/>
      <c r="K108" s="111"/>
      <c r="L108" s="111"/>
      <c r="M108" s="111"/>
      <c r="N108" s="111"/>
      <c r="O108" s="111"/>
      <c r="P108" s="111"/>
      <c r="Q108" s="111"/>
      <c r="R108" s="111"/>
    </row>
    <row r="109" spans="1:18">
      <c r="A109" t="s">
        <v>223</v>
      </c>
      <c r="B109" s="111">
        <f>STANDARDIZE(19.6,17.5,4.4)</f>
        <v>0.47727272727272757</v>
      </c>
      <c r="C109" s="111"/>
      <c r="D109" s="111"/>
      <c r="E109" s="111"/>
      <c r="F109" s="111"/>
      <c r="G109" s="111"/>
      <c r="H109" s="111"/>
      <c r="I109" s="111"/>
      <c r="J109" s="111"/>
      <c r="K109" s="111"/>
      <c r="L109" s="111"/>
      <c r="M109" s="111"/>
      <c r="N109" s="111"/>
      <c r="O109" s="111"/>
      <c r="P109" s="111"/>
      <c r="Q109" s="111"/>
      <c r="R109" s="111"/>
    </row>
    <row r="110" spans="1:18">
      <c r="A110" t="s">
        <v>224</v>
      </c>
      <c r="B110" s="111">
        <f>STANDARDIZE(33.6,17.5,4.4)</f>
        <v>3.6590909090909092</v>
      </c>
      <c r="C110" s="111"/>
      <c r="D110" s="111"/>
      <c r="E110" s="111"/>
      <c r="F110" s="111"/>
      <c r="G110" s="111"/>
      <c r="H110" s="111"/>
      <c r="I110" s="111"/>
      <c r="J110" s="111"/>
      <c r="K110" s="111"/>
      <c r="L110" s="111"/>
      <c r="M110" s="111"/>
      <c r="N110" s="111"/>
      <c r="O110" s="111"/>
      <c r="P110" s="111"/>
      <c r="Q110" s="111"/>
      <c r="R110" s="111"/>
    </row>
    <row r="111" spans="1:18">
      <c r="A111" t="s">
        <v>225</v>
      </c>
      <c r="B111" s="111">
        <f>STANDARDIZE(18.9,17.5,4.4)</f>
        <v>0.31818181818181784</v>
      </c>
      <c r="C111" s="111"/>
      <c r="D111" s="111"/>
      <c r="E111" s="111"/>
      <c r="F111" s="111"/>
      <c r="G111" s="111"/>
      <c r="H111" s="111"/>
      <c r="I111" s="111"/>
      <c r="J111" s="111"/>
      <c r="K111" s="111"/>
      <c r="L111" s="111"/>
      <c r="M111" s="111"/>
      <c r="N111" s="111"/>
      <c r="O111" s="111"/>
      <c r="P111" s="111"/>
      <c r="Q111" s="111"/>
      <c r="R111" s="111"/>
    </row>
    <row r="112" spans="1:18">
      <c r="A112" t="s">
        <v>226</v>
      </c>
      <c r="B112" s="111">
        <f>STANDARDIZE(32.2,17.5,4.4)</f>
        <v>3.3409090909090913</v>
      </c>
      <c r="C112" s="111"/>
      <c r="D112" s="111"/>
      <c r="E112" s="111"/>
      <c r="F112" s="111"/>
      <c r="G112" s="111"/>
      <c r="H112" s="111"/>
      <c r="I112" s="111"/>
      <c r="J112" s="111"/>
      <c r="K112" s="111"/>
      <c r="L112" s="111"/>
      <c r="M112" s="111"/>
      <c r="N112" s="111"/>
      <c r="O112" s="111"/>
      <c r="P112" s="111"/>
      <c r="Q112" s="111"/>
      <c r="R112" s="111"/>
    </row>
    <row r="113" spans="1:18">
      <c r="A113" t="s">
        <v>227</v>
      </c>
      <c r="B113" s="111">
        <f>STANDARDIZE(17.3,17.5,4.4)</f>
        <v>-4.5454545454545289E-2</v>
      </c>
      <c r="C113" s="111"/>
      <c r="D113" s="111"/>
      <c r="E113" s="111"/>
      <c r="F113" s="111"/>
      <c r="G113" s="111"/>
      <c r="H113" s="111"/>
      <c r="I113" s="111"/>
      <c r="J113" s="111"/>
      <c r="K113" s="111"/>
      <c r="L113" s="111"/>
      <c r="M113" s="111"/>
      <c r="N113" s="111"/>
      <c r="O113" s="111"/>
      <c r="P113" s="111"/>
      <c r="Q113" s="111"/>
      <c r="R113" s="111"/>
    </row>
    <row r="114" spans="1:18">
      <c r="A114" t="s">
        <v>228</v>
      </c>
      <c r="B114" s="111">
        <f>STANDARDIZE(6.8,17.5,4.4)</f>
        <v>-2.4318181818181817</v>
      </c>
      <c r="C114" s="111"/>
      <c r="D114" s="111"/>
      <c r="E114" s="111"/>
      <c r="F114" s="111"/>
      <c r="G114" s="111"/>
      <c r="H114" s="111"/>
      <c r="I114" s="111"/>
      <c r="J114" s="111"/>
      <c r="K114" s="111"/>
      <c r="L114" s="111"/>
      <c r="M114" s="111"/>
      <c r="N114" s="111"/>
      <c r="O114" s="111"/>
      <c r="P114" s="111"/>
      <c r="Q114" s="111"/>
      <c r="R114" s="111"/>
    </row>
    <row r="115" spans="1:18">
      <c r="A115" t="s">
        <v>229</v>
      </c>
      <c r="B115" s="111">
        <f>STANDARDIZE(29.3,17.5,4.4)</f>
        <v>2.6818181818181817</v>
      </c>
      <c r="C115" s="111"/>
      <c r="D115" s="111"/>
      <c r="E115" s="111"/>
      <c r="F115" s="111"/>
      <c r="G115" s="111"/>
      <c r="H115" s="111"/>
      <c r="I115" s="111"/>
      <c r="J115" s="111"/>
      <c r="K115" s="111"/>
      <c r="L115" s="111"/>
      <c r="M115" s="111"/>
      <c r="N115" s="111"/>
      <c r="O115" s="111"/>
      <c r="P115" s="111"/>
      <c r="Q115" s="111"/>
      <c r="R115" s="111"/>
    </row>
    <row r="116" spans="1:18">
      <c r="A116" t="s">
        <v>230</v>
      </c>
      <c r="B116" s="111">
        <f>STANDARDIZE(9.9,17.5,4.4)</f>
        <v>-1.7272727272727271</v>
      </c>
      <c r="C116" s="111"/>
      <c r="D116" s="111"/>
      <c r="E116" s="111"/>
      <c r="F116" s="111"/>
      <c r="G116" s="111"/>
      <c r="H116" s="111"/>
      <c r="I116" s="111"/>
      <c r="J116" s="111"/>
      <c r="K116" s="111"/>
      <c r="L116" s="111"/>
      <c r="M116" s="111"/>
      <c r="N116" s="111"/>
      <c r="O116" s="111"/>
      <c r="P116" s="111"/>
      <c r="Q116" s="111"/>
      <c r="R116" s="111"/>
    </row>
    <row r="117" spans="1:18">
      <c r="A117" t="s">
        <v>231</v>
      </c>
      <c r="B117" s="111">
        <f>STANDARDIZE(34.9,17.5,4.4)</f>
        <v>3.9545454545454537</v>
      </c>
      <c r="C117" s="111"/>
      <c r="D117" s="111"/>
      <c r="E117" s="111"/>
      <c r="F117" s="111"/>
      <c r="G117" s="111"/>
      <c r="H117" s="111"/>
      <c r="I117" s="111"/>
      <c r="J117" s="111"/>
      <c r="K117" s="111"/>
      <c r="L117" s="111"/>
      <c r="M117" s="111"/>
      <c r="N117" s="111"/>
      <c r="O117" s="111"/>
      <c r="P117" s="111"/>
      <c r="Q117" s="111"/>
      <c r="R117" s="111"/>
    </row>
    <row r="118" spans="1:18">
      <c r="A118" t="s">
        <v>232</v>
      </c>
      <c r="B118" s="111">
        <f>STANDARDIZE(11,17.5,4.4)</f>
        <v>-1.4772727272727271</v>
      </c>
      <c r="C118" s="111"/>
      <c r="D118" s="111"/>
      <c r="E118" s="111"/>
      <c r="F118" s="111"/>
      <c r="G118" s="111"/>
      <c r="H118" s="111"/>
      <c r="I118" s="111"/>
      <c r="J118" s="111"/>
      <c r="K118" s="111"/>
      <c r="L118" s="111"/>
      <c r="M118" s="111"/>
      <c r="N118" s="111"/>
      <c r="O118" s="111"/>
      <c r="P118" s="111"/>
      <c r="Q118" s="111"/>
      <c r="R118" s="111"/>
    </row>
    <row r="119" spans="1:18">
      <c r="A119" t="s">
        <v>233</v>
      </c>
      <c r="B119" s="111">
        <f>STANDARDIZE(11.9,17.5,4.4)</f>
        <v>-1.2727272727272725</v>
      </c>
      <c r="C119" s="111"/>
      <c r="D119" s="111"/>
      <c r="E119" s="111"/>
      <c r="F119" s="111"/>
      <c r="G119" s="111"/>
      <c r="H119" s="111"/>
      <c r="I119" s="111"/>
      <c r="J119" s="111"/>
      <c r="K119" s="111"/>
      <c r="L119" s="111"/>
      <c r="M119" s="111"/>
      <c r="N119" s="111"/>
      <c r="O119" s="111"/>
      <c r="P119" s="111"/>
      <c r="Q119" s="111"/>
      <c r="R119" s="111"/>
    </row>
    <row r="120" spans="1:18">
      <c r="A120" t="s">
        <v>234</v>
      </c>
      <c r="B120" s="111">
        <f>STANDARDIZE(17.5,17.5,4.4)</f>
        <v>0</v>
      </c>
      <c r="C120" s="111"/>
      <c r="D120" s="111"/>
      <c r="E120" s="111"/>
      <c r="F120" s="111"/>
      <c r="G120" s="111"/>
      <c r="H120" s="111"/>
      <c r="I120" s="111"/>
      <c r="J120" s="111"/>
      <c r="K120" s="111"/>
      <c r="L120" s="111"/>
      <c r="M120" s="111"/>
      <c r="N120" s="111"/>
      <c r="O120" s="111"/>
      <c r="P120" s="111"/>
      <c r="Q120" s="111"/>
      <c r="R120" s="111"/>
    </row>
    <row r="121" spans="1:18">
      <c r="A121" t="s">
        <v>235</v>
      </c>
      <c r="B121" s="111">
        <f>STANDARDIZE(30.8,17.5,4.4)</f>
        <v>3.0227272727272725</v>
      </c>
      <c r="C121" s="111"/>
      <c r="D121" s="111"/>
      <c r="E121" s="111"/>
      <c r="F121" s="111"/>
      <c r="G121" s="111"/>
      <c r="H121" s="111"/>
      <c r="I121" s="111"/>
      <c r="J121" s="111"/>
      <c r="K121" s="111"/>
      <c r="L121" s="111"/>
      <c r="M121" s="111"/>
      <c r="N121" s="111"/>
      <c r="O121" s="111"/>
      <c r="P121" s="111"/>
      <c r="Q121" s="111"/>
      <c r="R121" s="111"/>
    </row>
    <row r="122" spans="1:18">
      <c r="A122" t="s">
        <v>236</v>
      </c>
      <c r="B122" s="111">
        <f>STANDARDIZE(5.4,17.5,4.4)</f>
        <v>-2.7499999999999996</v>
      </c>
      <c r="C122" s="111"/>
      <c r="D122" s="111"/>
      <c r="E122" s="111"/>
      <c r="F122" s="111"/>
      <c r="G122" s="111"/>
      <c r="H122" s="111"/>
      <c r="I122" s="111"/>
      <c r="J122" s="111"/>
      <c r="K122" s="111"/>
      <c r="L122" s="111"/>
      <c r="M122" s="111"/>
      <c r="N122" s="111"/>
      <c r="O122" s="111"/>
      <c r="P122" s="111"/>
      <c r="Q122" s="111"/>
      <c r="R122" s="111"/>
    </row>
    <row r="123" spans="1:18">
      <c r="A123" t="s">
        <v>237</v>
      </c>
      <c r="B123" s="111">
        <f>STANDARDIZE(36.1,17.5,4.4)</f>
        <v>4.2272727272727275</v>
      </c>
      <c r="C123" s="111"/>
      <c r="D123" s="111"/>
      <c r="E123" s="111"/>
      <c r="F123" s="111"/>
      <c r="G123" s="111"/>
      <c r="H123" s="111"/>
      <c r="I123" s="111"/>
      <c r="J123" s="111"/>
      <c r="K123" s="111"/>
      <c r="L123" s="111"/>
      <c r="M123" s="111"/>
      <c r="N123" s="111"/>
      <c r="O123" s="111"/>
      <c r="P123" s="111"/>
      <c r="Q123" s="111"/>
      <c r="R123" s="111"/>
    </row>
    <row r="124" spans="1:18">
      <c r="A124" t="s">
        <v>238</v>
      </c>
      <c r="B124" s="111">
        <f>STANDARDIZE(13.1,17.5,4.4)</f>
        <v>-1</v>
      </c>
      <c r="C124" s="111"/>
      <c r="D124" s="111"/>
      <c r="E124" s="111"/>
      <c r="F124" s="111"/>
      <c r="G124" s="111"/>
      <c r="H124" s="111"/>
      <c r="I124" s="111"/>
      <c r="J124" s="111"/>
      <c r="K124" s="111"/>
      <c r="L124" s="111"/>
      <c r="M124" s="111"/>
      <c r="N124" s="111"/>
      <c r="O124" s="111"/>
      <c r="P124" s="111"/>
      <c r="Q124" s="111"/>
      <c r="R124" s="111"/>
    </row>
    <row r="125" spans="1:18">
      <c r="A125" t="s">
        <v>239</v>
      </c>
      <c r="B125" s="111">
        <f>STANDARDIZE(7.9,17.5,4.4)</f>
        <v>-2.1818181818181817</v>
      </c>
      <c r="C125" s="111"/>
      <c r="D125" s="111"/>
      <c r="E125" s="111"/>
      <c r="F125" s="111"/>
      <c r="G125" s="111"/>
      <c r="H125" s="111"/>
      <c r="I125" s="111"/>
      <c r="J125" s="111"/>
      <c r="K125" s="111"/>
      <c r="L125" s="111"/>
      <c r="M125" s="111"/>
      <c r="N125" s="111"/>
      <c r="O125" s="111"/>
      <c r="P125" s="111"/>
      <c r="Q125" s="111"/>
      <c r="R125" s="111"/>
    </row>
    <row r="126" spans="1:18">
      <c r="A126" t="s">
        <v>240</v>
      </c>
      <c r="B126" s="111">
        <f>STANDARDIZE(16.1,17.5,4.4)</f>
        <v>-0.31818181818181784</v>
      </c>
      <c r="C126" s="111"/>
      <c r="D126" s="111"/>
      <c r="E126" s="111"/>
      <c r="F126" s="111"/>
      <c r="G126" s="111"/>
      <c r="H126" s="111"/>
      <c r="I126" s="111"/>
      <c r="J126" s="111"/>
      <c r="K126" s="111"/>
      <c r="L126" s="111"/>
      <c r="M126" s="111"/>
      <c r="N126" s="111"/>
      <c r="O126" s="111"/>
      <c r="P126" s="111"/>
      <c r="Q126" s="111"/>
      <c r="R126" s="111"/>
    </row>
    <row r="127" spans="1:18">
      <c r="A127" t="s">
        <v>241</v>
      </c>
      <c r="B127" s="111">
        <f>STANDARDIZE(9.3,17.5,4.4)</f>
        <v>-1.8636363636363633</v>
      </c>
      <c r="C127" s="111"/>
      <c r="D127" s="111"/>
      <c r="E127" s="111"/>
      <c r="F127" s="111"/>
      <c r="G127" s="111"/>
      <c r="H127" s="111"/>
      <c r="I127" s="111"/>
      <c r="J127" s="111"/>
      <c r="K127" s="111"/>
      <c r="L127" s="111"/>
      <c r="M127" s="111"/>
      <c r="N127" s="111"/>
      <c r="O127" s="111"/>
      <c r="P127" s="111"/>
      <c r="Q127" s="111"/>
      <c r="R127" s="111"/>
    </row>
    <row r="128" spans="1:18">
      <c r="A128" t="s">
        <v>242</v>
      </c>
      <c r="B128" s="111">
        <f>STANDARDIZE(18.7,17.5,4.4)</f>
        <v>0.27272727272727254</v>
      </c>
      <c r="C128" s="111"/>
      <c r="D128" s="111"/>
      <c r="E128" s="111"/>
      <c r="F128" s="111"/>
      <c r="G128" s="111"/>
      <c r="H128" s="111"/>
      <c r="I128" s="111"/>
      <c r="J128" s="111"/>
      <c r="K128" s="111"/>
      <c r="L128" s="111"/>
      <c r="M128" s="111"/>
      <c r="N128" s="111"/>
      <c r="O128" s="111"/>
      <c r="P128" s="111"/>
      <c r="Q128" s="111"/>
      <c r="R128" s="111"/>
    </row>
    <row r="129" spans="1:18">
      <c r="A129" t="s">
        <v>243</v>
      </c>
      <c r="B129" s="111">
        <f>STANDARDIZE(24.4,17.5,4.4)</f>
        <v>1.5681818181818177</v>
      </c>
      <c r="C129" s="111"/>
      <c r="D129" s="111"/>
      <c r="E129" s="111"/>
      <c r="F129" s="111"/>
      <c r="G129" s="111"/>
      <c r="H129" s="111"/>
      <c r="I129" s="111"/>
      <c r="J129" s="111"/>
      <c r="K129" s="111"/>
      <c r="L129" s="111"/>
      <c r="M129" s="111"/>
      <c r="N129" s="111"/>
      <c r="O129" s="111"/>
      <c r="P129" s="111"/>
      <c r="Q129" s="111"/>
      <c r="R129" s="111"/>
    </row>
    <row r="130" spans="1:18">
      <c r="A130" t="s">
        <v>244</v>
      </c>
      <c r="B130" s="111">
        <f>STANDARDIZE(11.6,17.5,4.4)</f>
        <v>-1.3409090909090908</v>
      </c>
      <c r="C130" s="111"/>
      <c r="D130" s="111"/>
      <c r="E130" s="111"/>
      <c r="F130" s="111"/>
      <c r="G130" s="111"/>
      <c r="H130" s="111"/>
      <c r="I130" s="111"/>
      <c r="J130" s="111"/>
      <c r="K130" s="111"/>
      <c r="L130" s="111"/>
      <c r="M130" s="111"/>
      <c r="N130" s="111"/>
      <c r="O130" s="111"/>
      <c r="P130" s="111"/>
      <c r="Q130" s="111"/>
      <c r="R130" s="111"/>
    </row>
    <row r="131" spans="1:18">
      <c r="A131" t="s">
        <v>245</v>
      </c>
      <c r="B131" s="111">
        <f>STANDARDIZE(8.9,17.5,4.4)</f>
        <v>-1.9545454545454544</v>
      </c>
      <c r="C131" s="111"/>
      <c r="D131" s="111"/>
      <c r="E131" s="111"/>
      <c r="F131" s="111"/>
      <c r="G131" s="111"/>
      <c r="H131" s="111"/>
      <c r="I131" s="111"/>
      <c r="J131" s="111"/>
      <c r="K131" s="111"/>
      <c r="L131" s="111"/>
      <c r="M131" s="111"/>
      <c r="N131" s="111"/>
      <c r="O131" s="111"/>
      <c r="P131" s="111"/>
      <c r="Q131" s="111"/>
      <c r="R131" s="111"/>
    </row>
    <row r="132" spans="1:18">
      <c r="A132" t="s">
        <v>246</v>
      </c>
      <c r="B132" s="111">
        <f>STANDARDIZE(1.9,17.5,4.4)</f>
        <v>-3.545454545454545</v>
      </c>
      <c r="C132" s="111"/>
      <c r="D132" s="111"/>
      <c r="E132" s="111"/>
      <c r="F132" s="111"/>
      <c r="G132" s="111"/>
      <c r="H132" s="111"/>
      <c r="I132" s="111"/>
      <c r="J132" s="111"/>
      <c r="K132" s="111"/>
      <c r="L132" s="111"/>
      <c r="M132" s="111"/>
      <c r="N132" s="111"/>
      <c r="O132" s="111"/>
      <c r="P132" s="111"/>
      <c r="Q132" s="111"/>
      <c r="R132" s="111"/>
    </row>
    <row r="133" spans="1:18">
      <c r="A133" t="s">
        <v>247</v>
      </c>
      <c r="B133" s="111">
        <f>STANDARDIZE(24.2,17.5,4.4)</f>
        <v>1.5227272727272725</v>
      </c>
      <c r="C133" s="111"/>
      <c r="D133" s="111"/>
      <c r="E133" s="111"/>
      <c r="F133" s="111"/>
      <c r="G133" s="111"/>
      <c r="H133" s="111"/>
      <c r="I133" s="111"/>
      <c r="J133" s="111"/>
      <c r="K133" s="111"/>
      <c r="L133" s="111"/>
      <c r="M133" s="111"/>
      <c r="N133" s="111"/>
      <c r="O133" s="111"/>
      <c r="P133" s="111"/>
      <c r="Q133" s="111"/>
      <c r="R133" s="111"/>
    </row>
    <row r="134" spans="1:18">
      <c r="A134" t="s">
        <v>248</v>
      </c>
      <c r="B134" s="111">
        <f>STANDARDIZE(8.2,17.5,4.4)</f>
        <v>-2.1136363636363638</v>
      </c>
      <c r="C134" s="111"/>
      <c r="D134" s="111"/>
      <c r="E134" s="111"/>
      <c r="F134" s="111"/>
      <c r="G134" s="111"/>
      <c r="H134" s="111"/>
      <c r="I134" s="111"/>
      <c r="J134" s="111"/>
      <c r="K134" s="111"/>
      <c r="L134" s="111"/>
      <c r="M134" s="111"/>
      <c r="N134" s="111"/>
      <c r="O134" s="111"/>
      <c r="P134" s="111"/>
      <c r="Q134" s="111"/>
      <c r="R134" s="111"/>
    </row>
    <row r="135" spans="1:18">
      <c r="A135" t="s">
        <v>249</v>
      </c>
      <c r="B135" s="111">
        <f>STANDARDIZE(5,17.5,4.4)</f>
        <v>-2.8409090909090908</v>
      </c>
      <c r="C135" s="111"/>
      <c r="D135" s="111"/>
      <c r="E135" s="111"/>
      <c r="F135" s="111"/>
      <c r="G135" s="111"/>
      <c r="H135" s="111"/>
      <c r="I135" s="111"/>
      <c r="J135" s="111"/>
      <c r="K135" s="111"/>
      <c r="L135" s="111"/>
      <c r="M135" s="111"/>
      <c r="N135" s="111"/>
      <c r="O135" s="111"/>
      <c r="P135" s="111"/>
      <c r="Q135" s="111"/>
      <c r="R135" s="111"/>
    </row>
    <row r="136" spans="1:18">
      <c r="A136" t="s">
        <v>250</v>
      </c>
      <c r="B136" s="111">
        <f>STANDARDIZE(13.5,17.5,4.4)</f>
        <v>-0.90909090909090906</v>
      </c>
      <c r="C136" s="111"/>
      <c r="D136" s="111"/>
      <c r="E136" s="111"/>
      <c r="F136" s="111"/>
      <c r="G136" s="111"/>
      <c r="H136" s="111"/>
      <c r="I136" s="111"/>
      <c r="J136" s="111"/>
      <c r="K136" s="111"/>
      <c r="L136" s="111"/>
      <c r="M136" s="111"/>
      <c r="N136" s="111"/>
      <c r="O136" s="111"/>
      <c r="P136" s="111"/>
      <c r="Q136" s="111"/>
      <c r="R136" s="111"/>
    </row>
    <row r="137" spans="1:18">
      <c r="A137" t="s">
        <v>251</v>
      </c>
      <c r="B137" s="111">
        <f>STANDARDIZE(6.2,17.5,4.4)</f>
        <v>-2.5681818181818183</v>
      </c>
      <c r="C137" s="111"/>
      <c r="D137" s="111"/>
      <c r="E137" s="111"/>
      <c r="F137" s="111"/>
      <c r="G137" s="111"/>
      <c r="H137" s="111"/>
      <c r="I137" s="111"/>
      <c r="J137" s="111"/>
      <c r="K137" s="111"/>
      <c r="L137" s="111"/>
      <c r="M137" s="111"/>
      <c r="N137" s="111"/>
      <c r="O137" s="111"/>
      <c r="P137" s="111"/>
      <c r="Q137" s="111"/>
      <c r="R137" s="111"/>
    </row>
    <row r="138" spans="1:18">
      <c r="A138" t="s">
        <v>252</v>
      </c>
      <c r="B138" s="111">
        <f>STANDARDIZE(8.2,17.5,4.4)</f>
        <v>-2.1136363636363638</v>
      </c>
      <c r="C138" s="111"/>
      <c r="D138" s="111"/>
      <c r="E138" s="111"/>
      <c r="F138" s="111"/>
      <c r="G138" s="111"/>
      <c r="H138" s="111"/>
      <c r="I138" s="111"/>
      <c r="J138" s="111"/>
      <c r="K138" s="111"/>
      <c r="L138" s="111"/>
      <c r="M138" s="111"/>
      <c r="N138" s="111"/>
      <c r="O138" s="111"/>
      <c r="P138" s="111"/>
      <c r="Q138" s="111"/>
      <c r="R138" s="111"/>
    </row>
    <row r="139" spans="1:18">
      <c r="A139" t="s">
        <v>253</v>
      </c>
      <c r="B139" s="111">
        <f>STANDARDIZE(4.2,17.5,4.4)</f>
        <v>-3.0227272727272725</v>
      </c>
      <c r="C139" s="111"/>
      <c r="D139" s="111"/>
      <c r="E139" s="111"/>
      <c r="F139" s="111"/>
      <c r="G139" s="111"/>
      <c r="H139" s="111"/>
      <c r="I139" s="111"/>
      <c r="J139" s="111"/>
      <c r="K139" s="111"/>
      <c r="L139" s="111"/>
      <c r="M139" s="111"/>
      <c r="N139" s="111"/>
      <c r="O139" s="111"/>
      <c r="P139" s="111"/>
      <c r="Q139" s="111"/>
      <c r="R139" s="111"/>
    </row>
    <row r="140" spans="1:18">
      <c r="A140" t="s">
        <v>254</v>
      </c>
      <c r="B140" s="111">
        <f>STANDARDIZE(2.3,17.5,4.4)</f>
        <v>-3.4545454545454541</v>
      </c>
      <c r="C140" s="111"/>
      <c r="D140" s="111"/>
      <c r="E140" s="111"/>
      <c r="F140" s="111"/>
      <c r="G140" s="111"/>
      <c r="H140" s="111"/>
      <c r="I140" s="111"/>
      <c r="J140" s="111"/>
      <c r="K140" s="111"/>
      <c r="L140" s="111"/>
      <c r="M140" s="111"/>
      <c r="N140" s="111"/>
      <c r="O140" s="111"/>
      <c r="P140" s="111"/>
      <c r="Q140" s="111"/>
      <c r="R140" s="111"/>
    </row>
    <row r="141" spans="1:18">
      <c r="B141" s="111"/>
      <c r="C141" s="111"/>
      <c r="D141" s="111"/>
      <c r="E141" s="111"/>
      <c r="F141" s="111"/>
      <c r="G141" s="111"/>
      <c r="H141" s="111"/>
      <c r="I141" s="111"/>
      <c r="J141" s="111"/>
      <c r="K141" s="111"/>
      <c r="L141" s="111"/>
      <c r="M141" s="111"/>
      <c r="N141" s="111"/>
      <c r="O141" s="111"/>
    </row>
    <row r="142" spans="1:18">
      <c r="B142" s="111"/>
      <c r="C142" s="111"/>
      <c r="D142" s="111"/>
      <c r="E142" s="111"/>
      <c r="F142" s="111"/>
      <c r="G142" s="111"/>
      <c r="H142" s="111"/>
      <c r="I142" s="111"/>
      <c r="J142" s="111"/>
      <c r="K142" s="111"/>
      <c r="L142" s="111"/>
      <c r="M142" s="111"/>
      <c r="N142" s="111"/>
      <c r="O142" s="111"/>
    </row>
    <row r="143" spans="1:18">
      <c r="B143" s="111"/>
      <c r="C143" s="111"/>
      <c r="D143" s="111"/>
      <c r="E143" s="111"/>
      <c r="F143" s="111"/>
      <c r="G143" s="111"/>
      <c r="H143" s="111"/>
      <c r="I143" s="111"/>
      <c r="J143" s="111"/>
      <c r="K143" s="111"/>
      <c r="L143" s="111"/>
      <c r="M143" s="111"/>
      <c r="N143" s="111"/>
      <c r="O143" s="111"/>
    </row>
    <row r="144" spans="1:18">
      <c r="B144" s="111"/>
      <c r="C144" s="111"/>
      <c r="D144" s="111"/>
      <c r="E144" s="111"/>
      <c r="F144" s="111"/>
      <c r="G144" s="111"/>
      <c r="H144" s="111"/>
      <c r="I144" s="111"/>
      <c r="J144" s="111"/>
      <c r="K144" s="111"/>
      <c r="L144" s="111"/>
      <c r="M144" s="111"/>
      <c r="N144" s="111"/>
      <c r="O144" s="111"/>
    </row>
    <row r="145" spans="2:15">
      <c r="B145" s="111"/>
      <c r="C145" s="111"/>
      <c r="D145" s="111"/>
      <c r="E145" s="111"/>
      <c r="F145" s="111"/>
      <c r="G145" s="111"/>
      <c r="H145" s="111"/>
      <c r="I145" s="111"/>
      <c r="J145" s="111"/>
      <c r="K145" s="111"/>
      <c r="L145" s="111"/>
      <c r="M145" s="111"/>
      <c r="N145" s="111"/>
      <c r="O145" s="111"/>
    </row>
    <row r="146" spans="2:15">
      <c r="B146" s="111"/>
      <c r="C146" s="111"/>
      <c r="D146" s="111"/>
      <c r="E146" s="111"/>
      <c r="F146" s="111"/>
      <c r="G146" s="111"/>
      <c r="H146" s="111"/>
      <c r="I146" s="111"/>
      <c r="J146" s="111"/>
      <c r="K146" s="111"/>
      <c r="L146" s="111"/>
      <c r="M146" s="111"/>
      <c r="N146" s="111"/>
      <c r="O146" s="111"/>
    </row>
    <row r="147" spans="2:15">
      <c r="B147" s="111"/>
      <c r="C147" s="111"/>
      <c r="D147" s="111"/>
      <c r="E147" s="111"/>
      <c r="F147" s="111"/>
      <c r="G147" s="111"/>
      <c r="H147" s="111"/>
      <c r="I147" s="111"/>
      <c r="J147" s="111"/>
      <c r="K147" s="111"/>
      <c r="L147" s="111"/>
      <c r="M147" s="111"/>
      <c r="N147" s="111"/>
      <c r="O147" s="111"/>
    </row>
    <row r="148" spans="2:15">
      <c r="B148" s="111"/>
      <c r="C148" s="111"/>
      <c r="D148" s="111"/>
      <c r="E148" s="111"/>
      <c r="F148" s="111"/>
      <c r="G148" s="111"/>
      <c r="H148" s="111"/>
      <c r="I148" s="111"/>
      <c r="J148" s="111"/>
      <c r="K148" s="111"/>
      <c r="L148" s="111"/>
      <c r="M148" s="111"/>
      <c r="N148" s="111"/>
      <c r="O148" s="111"/>
    </row>
    <row r="149" spans="2:15">
      <c r="B149" s="111"/>
      <c r="C149" s="111"/>
      <c r="D149" s="111"/>
      <c r="E149" s="111"/>
      <c r="F149" s="111"/>
      <c r="G149" s="111"/>
      <c r="H149" s="111"/>
      <c r="I149" s="111"/>
      <c r="J149" s="111"/>
      <c r="K149" s="111"/>
      <c r="L149" s="111"/>
      <c r="M149" s="111"/>
      <c r="N149" s="111"/>
      <c r="O149" s="111"/>
    </row>
    <row r="150" spans="2:15">
      <c r="B150" s="111"/>
      <c r="C150" s="111"/>
      <c r="D150" s="111"/>
      <c r="E150" s="111"/>
      <c r="F150" s="111"/>
      <c r="G150" s="111"/>
      <c r="H150" s="111"/>
      <c r="I150" s="111"/>
      <c r="J150" s="111"/>
      <c r="K150" s="111"/>
      <c r="L150" s="111"/>
      <c r="M150" s="111"/>
      <c r="N150" s="111"/>
      <c r="O150" s="111"/>
    </row>
    <row r="151" spans="2:15">
      <c r="B151" s="111"/>
      <c r="C151" s="111"/>
      <c r="D151" s="111"/>
      <c r="E151" s="111"/>
      <c r="F151" s="111"/>
      <c r="G151" s="111"/>
      <c r="H151" s="111"/>
      <c r="I151" s="111"/>
      <c r="J151" s="111"/>
      <c r="K151" s="111"/>
      <c r="L151" s="111"/>
      <c r="M151" s="111"/>
      <c r="N151" s="111"/>
      <c r="O151" s="111"/>
    </row>
    <row r="152" spans="2:15">
      <c r="B152" s="111"/>
      <c r="C152" s="111"/>
      <c r="D152" s="111"/>
      <c r="E152" s="111"/>
      <c r="F152" s="111"/>
      <c r="G152" s="111"/>
      <c r="H152" s="111"/>
      <c r="I152" s="111"/>
      <c r="J152" s="111"/>
      <c r="K152" s="111"/>
      <c r="L152" s="111"/>
      <c r="M152" s="111"/>
      <c r="N152" s="111"/>
      <c r="O152" s="111"/>
    </row>
    <row r="153" spans="2:15">
      <c r="B153" s="111"/>
      <c r="C153" s="111"/>
      <c r="D153" s="111"/>
      <c r="E153" s="111"/>
      <c r="F153" s="111"/>
      <c r="G153" s="111"/>
      <c r="H153" s="111"/>
      <c r="I153" s="111"/>
      <c r="J153" s="111"/>
      <c r="K153" s="111"/>
      <c r="L153" s="111"/>
      <c r="M153" s="111"/>
      <c r="N153" s="111"/>
      <c r="O153" s="111"/>
    </row>
    <row r="154" spans="2:15">
      <c r="B154" s="111"/>
      <c r="C154" s="111"/>
      <c r="D154" s="111"/>
      <c r="E154" s="111"/>
      <c r="F154" s="111"/>
      <c r="G154" s="111"/>
      <c r="H154" s="111"/>
      <c r="I154" s="111"/>
      <c r="J154" s="111"/>
      <c r="K154" s="111"/>
      <c r="L154" s="111"/>
      <c r="M154" s="111"/>
      <c r="N154" s="111"/>
      <c r="O154" s="111"/>
    </row>
    <row r="155" spans="2:15">
      <c r="B155" s="111"/>
      <c r="C155" s="111"/>
      <c r="D155" s="111"/>
      <c r="E155" s="111"/>
      <c r="F155" s="111"/>
      <c r="G155" s="111"/>
      <c r="H155" s="111"/>
      <c r="I155" s="111"/>
      <c r="J155" s="111"/>
      <c r="K155" s="111"/>
      <c r="L155" s="111"/>
      <c r="M155" s="111"/>
      <c r="N155" s="111"/>
      <c r="O155" s="111"/>
    </row>
    <row r="156" spans="2:15">
      <c r="B156" s="111"/>
      <c r="C156" s="111"/>
      <c r="D156" s="111"/>
      <c r="E156" s="111"/>
      <c r="F156" s="111"/>
      <c r="G156" s="111"/>
      <c r="H156" s="111"/>
      <c r="I156" s="111"/>
      <c r="J156" s="111"/>
      <c r="K156" s="111"/>
      <c r="L156" s="111"/>
      <c r="M156" s="111"/>
      <c r="N156" s="111"/>
      <c r="O156" s="111"/>
    </row>
    <row r="157" spans="2:15">
      <c r="B157" s="111"/>
      <c r="C157" s="111"/>
      <c r="D157" s="111"/>
      <c r="E157" s="111"/>
      <c r="F157" s="111"/>
      <c r="G157" s="111"/>
      <c r="H157" s="111"/>
      <c r="I157" s="111"/>
      <c r="J157" s="111"/>
      <c r="K157" s="111"/>
      <c r="L157" s="111"/>
      <c r="M157" s="111"/>
      <c r="N157" s="111"/>
      <c r="O157" s="111"/>
    </row>
    <row r="158" spans="2:15">
      <c r="B158" s="111"/>
      <c r="C158" s="111"/>
      <c r="D158" s="111"/>
      <c r="E158" s="111"/>
      <c r="F158" s="111"/>
      <c r="G158" s="111"/>
      <c r="H158" s="111"/>
      <c r="I158" s="111"/>
      <c r="J158" s="111"/>
      <c r="K158" s="111"/>
      <c r="L158" s="111"/>
      <c r="M158" s="111"/>
      <c r="N158" s="111"/>
      <c r="O158" s="111"/>
    </row>
    <row r="159" spans="2:15">
      <c r="B159" s="111"/>
      <c r="C159" s="111"/>
      <c r="D159" s="111"/>
      <c r="E159" s="111"/>
      <c r="F159" s="111"/>
      <c r="G159" s="111"/>
      <c r="H159" s="111"/>
      <c r="I159" s="111"/>
      <c r="J159" s="111"/>
      <c r="K159" s="111"/>
      <c r="L159" s="111"/>
      <c r="M159" s="111"/>
      <c r="N159" s="111"/>
      <c r="O159" s="111"/>
    </row>
    <row r="160" spans="2:15">
      <c r="B160" s="111"/>
      <c r="C160" s="111"/>
      <c r="D160" s="111"/>
      <c r="E160" s="111"/>
      <c r="F160" s="111"/>
      <c r="G160" s="111"/>
      <c r="H160" s="111"/>
      <c r="I160" s="111"/>
      <c r="J160" s="111"/>
      <c r="K160" s="111"/>
      <c r="L160" s="111"/>
      <c r="M160" s="111"/>
      <c r="N160" s="111"/>
      <c r="O160" s="111"/>
    </row>
    <row r="161" spans="2:15">
      <c r="B161" s="111"/>
      <c r="C161" s="111"/>
      <c r="D161" s="111"/>
      <c r="E161" s="111"/>
      <c r="F161" s="111"/>
      <c r="G161" s="111"/>
      <c r="H161" s="111"/>
      <c r="I161" s="111"/>
      <c r="J161" s="111"/>
      <c r="K161" s="111"/>
      <c r="L161" s="111"/>
      <c r="M161" s="111"/>
      <c r="N161" s="111"/>
      <c r="O161" s="111"/>
    </row>
    <row r="162" spans="2:15">
      <c r="B162" s="111"/>
      <c r="C162" s="111"/>
      <c r="D162" s="111"/>
      <c r="E162" s="111"/>
      <c r="F162" s="111"/>
      <c r="G162" s="111"/>
      <c r="H162" s="111"/>
      <c r="I162" s="111"/>
      <c r="J162" s="111"/>
      <c r="K162" s="111"/>
      <c r="L162" s="111"/>
      <c r="M162" s="111"/>
      <c r="N162" s="111"/>
      <c r="O162" s="111"/>
    </row>
    <row r="163" spans="2:15">
      <c r="B163" s="111"/>
      <c r="C163" s="111"/>
      <c r="D163" s="111"/>
      <c r="E163" s="111"/>
      <c r="F163" s="111"/>
      <c r="G163" s="111"/>
      <c r="H163" s="111"/>
      <c r="I163" s="111"/>
      <c r="J163" s="111"/>
      <c r="K163" s="111"/>
      <c r="L163" s="111"/>
      <c r="M163" s="111"/>
      <c r="N163" s="111"/>
      <c r="O163" s="111"/>
    </row>
    <row r="164" spans="2:15">
      <c r="B164" s="111"/>
      <c r="C164" s="111"/>
      <c r="D164" s="111"/>
      <c r="E164" s="111"/>
      <c r="F164" s="111"/>
      <c r="G164" s="111"/>
      <c r="H164" s="111"/>
      <c r="I164" s="111"/>
      <c r="J164" s="111"/>
      <c r="K164" s="111"/>
      <c r="L164" s="111"/>
      <c r="M164" s="111"/>
      <c r="N164" s="111"/>
      <c r="O164" s="111"/>
    </row>
    <row r="165" spans="2:15">
      <c r="B165" s="111"/>
      <c r="C165" s="111"/>
      <c r="D165" s="111"/>
      <c r="E165" s="111"/>
      <c r="F165" s="111"/>
      <c r="G165" s="111"/>
      <c r="H165" s="111"/>
      <c r="I165" s="111"/>
      <c r="J165" s="111"/>
      <c r="K165" s="111"/>
      <c r="L165" s="111"/>
      <c r="M165" s="111"/>
      <c r="N165" s="111"/>
      <c r="O165" s="111"/>
    </row>
    <row r="166" spans="2:15">
      <c r="B166" s="111"/>
      <c r="C166" s="111"/>
      <c r="D166" s="111"/>
      <c r="E166" s="111"/>
      <c r="F166" s="111"/>
      <c r="G166" s="111"/>
      <c r="H166" s="111"/>
      <c r="I166" s="111"/>
      <c r="J166" s="111"/>
      <c r="K166" s="111"/>
      <c r="L166" s="111"/>
      <c r="M166" s="111"/>
      <c r="N166" s="111"/>
      <c r="O166" s="111"/>
    </row>
    <row r="167" spans="2:15">
      <c r="B167" s="111"/>
      <c r="C167" s="111"/>
      <c r="D167" s="111"/>
      <c r="E167" s="111"/>
      <c r="F167" s="111"/>
      <c r="G167" s="111"/>
      <c r="H167" s="111"/>
      <c r="I167" s="111"/>
      <c r="J167" s="111"/>
      <c r="K167" s="111"/>
      <c r="L167" s="111"/>
      <c r="M167" s="111"/>
      <c r="N167" s="111"/>
      <c r="O167" s="111"/>
    </row>
    <row r="168" spans="2:15">
      <c r="B168" s="111"/>
      <c r="C168" s="111"/>
      <c r="D168" s="111"/>
      <c r="E168" s="111"/>
      <c r="F168" s="111"/>
      <c r="G168" s="111"/>
      <c r="H168" s="111"/>
      <c r="I168" s="111"/>
      <c r="J168" s="111"/>
      <c r="K168" s="111"/>
      <c r="L168" s="111"/>
      <c r="M168" s="111"/>
      <c r="N168" s="111"/>
      <c r="O168" s="111"/>
    </row>
    <row r="169" spans="2:15">
      <c r="B169" s="111"/>
      <c r="C169" s="111"/>
      <c r="D169" s="111"/>
      <c r="E169" s="111"/>
      <c r="F169" s="111"/>
      <c r="G169" s="111"/>
      <c r="H169" s="111"/>
      <c r="I169" s="111"/>
      <c r="J169" s="111"/>
      <c r="K169" s="111"/>
      <c r="L169" s="111"/>
      <c r="M169" s="111"/>
      <c r="N169" s="111"/>
      <c r="O169" s="111"/>
    </row>
    <row r="170" spans="2:15">
      <c r="B170" s="111"/>
      <c r="C170" s="111"/>
      <c r="D170" s="111"/>
      <c r="E170" s="111"/>
      <c r="F170" s="111"/>
      <c r="G170" s="111"/>
      <c r="H170" s="111"/>
      <c r="I170" s="111"/>
      <c r="J170" s="111"/>
      <c r="K170" s="111"/>
      <c r="L170" s="111"/>
      <c r="M170" s="111"/>
      <c r="N170" s="111"/>
      <c r="O170" s="111"/>
    </row>
    <row r="171" spans="2:15">
      <c r="B171" s="111"/>
      <c r="C171" s="111"/>
      <c r="D171" s="111"/>
      <c r="E171" s="111"/>
      <c r="F171" s="111"/>
      <c r="G171" s="111"/>
      <c r="H171" s="111"/>
      <c r="I171" s="111"/>
      <c r="J171" s="111"/>
      <c r="K171" s="111"/>
      <c r="L171" s="111"/>
      <c r="M171" s="111"/>
      <c r="N171" s="111"/>
      <c r="O171" s="111"/>
    </row>
    <row r="172" spans="2:15">
      <c r="B172" s="111"/>
      <c r="C172" s="111"/>
      <c r="D172" s="111"/>
      <c r="E172" s="111"/>
      <c r="F172" s="111"/>
      <c r="G172" s="111"/>
      <c r="H172" s="111"/>
      <c r="I172" s="111"/>
      <c r="J172" s="111"/>
      <c r="K172" s="111"/>
      <c r="L172" s="111"/>
      <c r="M172" s="111"/>
      <c r="N172" s="111"/>
      <c r="O172" s="111"/>
    </row>
    <row r="173" spans="2:15">
      <c r="B173" s="111"/>
      <c r="C173" s="111"/>
      <c r="D173" s="111"/>
      <c r="E173" s="111"/>
      <c r="F173" s="111"/>
      <c r="G173" s="111"/>
      <c r="H173" s="111"/>
      <c r="I173" s="111"/>
      <c r="J173" s="111"/>
      <c r="K173" s="111"/>
      <c r="L173" s="111"/>
      <c r="M173" s="111"/>
      <c r="N173" s="111"/>
      <c r="O173" s="111"/>
    </row>
    <row r="174" spans="2:15">
      <c r="B174" s="111"/>
      <c r="C174" s="111"/>
      <c r="D174" s="111"/>
      <c r="E174" s="111"/>
      <c r="F174" s="111"/>
      <c r="G174" s="111"/>
      <c r="H174" s="111"/>
      <c r="I174" s="111"/>
      <c r="J174" s="111"/>
      <c r="K174" s="111"/>
      <c r="L174" s="111"/>
      <c r="M174" s="111"/>
      <c r="N174" s="111"/>
      <c r="O174" s="111"/>
    </row>
    <row r="175" spans="2:15">
      <c r="B175" s="111"/>
      <c r="C175" s="111"/>
      <c r="D175" s="111"/>
      <c r="E175" s="111"/>
      <c r="F175" s="111"/>
      <c r="G175" s="111"/>
      <c r="H175" s="111"/>
      <c r="I175" s="111"/>
      <c r="J175" s="111"/>
      <c r="K175" s="111"/>
      <c r="L175" s="111"/>
      <c r="M175" s="111"/>
      <c r="N175" s="111"/>
      <c r="O175" s="111"/>
    </row>
    <row r="176" spans="2:15">
      <c r="B176" s="111"/>
      <c r="C176" s="111"/>
      <c r="D176" s="111"/>
      <c r="E176" s="111"/>
      <c r="F176" s="111"/>
      <c r="G176" s="111"/>
      <c r="H176" s="111"/>
      <c r="I176" s="111"/>
      <c r="J176" s="111"/>
      <c r="K176" s="111"/>
      <c r="L176" s="111"/>
      <c r="M176" s="111"/>
      <c r="N176" s="111"/>
      <c r="O176" s="111"/>
    </row>
    <row r="177" spans="2:15">
      <c r="B177" s="111"/>
      <c r="C177" s="111"/>
      <c r="D177" s="111"/>
      <c r="E177" s="111"/>
      <c r="F177" s="111"/>
      <c r="G177" s="111"/>
      <c r="H177" s="111"/>
      <c r="I177" s="111"/>
      <c r="J177" s="111"/>
      <c r="K177" s="111"/>
      <c r="L177" s="111"/>
      <c r="M177" s="111"/>
      <c r="N177" s="111"/>
      <c r="O177" s="111"/>
    </row>
    <row r="178" spans="2:15">
      <c r="B178" s="111"/>
      <c r="C178" s="111"/>
      <c r="D178" s="111"/>
      <c r="E178" s="111"/>
      <c r="F178" s="111"/>
      <c r="G178" s="111"/>
      <c r="H178" s="111"/>
      <c r="I178" s="111"/>
      <c r="J178" s="111"/>
      <c r="K178" s="111"/>
      <c r="L178" s="111"/>
      <c r="M178" s="111"/>
      <c r="N178" s="111"/>
      <c r="O178" s="111"/>
    </row>
    <row r="179" spans="2:15">
      <c r="B179" s="111"/>
      <c r="C179" s="111"/>
      <c r="D179" s="111"/>
      <c r="E179" s="111"/>
      <c r="F179" s="111"/>
      <c r="G179" s="111"/>
      <c r="H179" s="111"/>
      <c r="I179" s="111"/>
      <c r="J179" s="111"/>
      <c r="K179" s="111"/>
      <c r="L179" s="111"/>
      <c r="M179" s="111"/>
      <c r="N179" s="111"/>
      <c r="O179" s="111"/>
    </row>
    <row r="180" spans="2:15">
      <c r="B180" s="111"/>
      <c r="C180" s="111"/>
      <c r="D180" s="111"/>
      <c r="E180" s="111"/>
      <c r="F180" s="111"/>
      <c r="G180" s="111"/>
      <c r="H180" s="111"/>
      <c r="I180" s="111"/>
      <c r="J180" s="111"/>
      <c r="K180" s="111"/>
      <c r="L180" s="111"/>
      <c r="M180" s="111"/>
      <c r="N180" s="111"/>
      <c r="O180" s="111"/>
    </row>
    <row r="181" spans="2:15">
      <c r="B181" s="112"/>
      <c r="C181" s="112"/>
      <c r="D181" s="112"/>
      <c r="E181" s="112"/>
      <c r="F181" s="112"/>
      <c r="G181" s="112"/>
      <c r="H181" s="112"/>
      <c r="I181" s="112"/>
      <c r="J181" s="112"/>
      <c r="K181" s="112"/>
      <c r="L181" s="112"/>
      <c r="M181" s="112"/>
      <c r="N181" s="112"/>
      <c r="O181" s="112"/>
    </row>
  </sheetData>
  <mergeCells count="2">
    <mergeCell ref="P1:Q1"/>
    <mergeCell ref="P2:Q2"/>
  </mergeCells>
  <conditionalFormatting sqref="B181:O181">
    <cfRule type="cellIs" dxfId="5" priority="4" operator="greaterThan">
      <formula>1</formula>
    </cfRule>
  </conditionalFormatting>
  <conditionalFormatting sqref="C79:N87 B141:O180 B88:N140 B2:O44 B48:O78">
    <cfRule type="cellIs" dxfId="4" priority="3" operator="greaterThanOrEqual">
      <formula>1</formula>
    </cfRule>
  </conditionalFormatting>
  <conditionalFormatting sqref="B79:B87">
    <cfRule type="cellIs" dxfId="3" priority="2" operator="greaterThanOrEqual">
      <formula>1</formula>
    </cfRule>
  </conditionalFormatting>
  <conditionalFormatting sqref="B45:O47">
    <cfRule type="cellIs" dxfId="2" priority="1" operator="greaterThanOrEqual">
      <formula>1</formula>
    </cfRule>
  </conditionalFormatting>
  <pageMargins left="0.75" right="0.75" top="1" bottom="1" header="0.5" footer="0.5"/>
  <headerFooter alignWithMargins="0"/>
  <ignoredErrors>
    <ignoredError sqref="L5" 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K264"/>
  <sheetViews>
    <sheetView zoomScale="85" zoomScaleNormal="85" workbookViewId="0">
      <pane xSplit="1" ySplit="1" topLeftCell="E3" activePane="bottomRight" state="frozen"/>
      <selection pane="bottomRight" activeCell="E3" sqref="E3"/>
      <selection pane="bottomLeft" activeCell="A2" sqref="A2"/>
      <selection pane="topRight" activeCell="B1" sqref="B1"/>
    </sheetView>
  </sheetViews>
  <sheetFormatPr defaultRowHeight="14.45"/>
  <cols>
    <col min="1" max="1" width="41" customWidth="1"/>
    <col min="2" max="2" width="16" style="141" customWidth="1"/>
    <col min="3" max="3" width="13" customWidth="1"/>
    <col min="4" max="4" width="27" customWidth="1"/>
    <col min="5" max="6" width="23" customWidth="1"/>
    <col min="7" max="7" width="13" customWidth="1"/>
    <col min="8" max="8" width="19" customWidth="1"/>
    <col min="9" max="9" width="26" customWidth="1"/>
    <col min="10" max="10" width="21.140625" customWidth="1"/>
  </cols>
  <sheetData>
    <row r="1" spans="1:11">
      <c r="A1" s="37" t="s">
        <v>110</v>
      </c>
      <c r="B1" s="138" t="s">
        <v>96</v>
      </c>
      <c r="C1" s="37" t="s">
        <v>255</v>
      </c>
      <c r="D1" s="37" t="s">
        <v>37</v>
      </c>
      <c r="E1" s="37" t="s">
        <v>46</v>
      </c>
      <c r="F1" s="37" t="s">
        <v>256</v>
      </c>
      <c r="G1" s="37" t="s">
        <v>70</v>
      </c>
      <c r="H1" s="37" t="s">
        <v>80</v>
      </c>
      <c r="I1" s="37" t="s">
        <v>257</v>
      </c>
      <c r="J1" s="113" t="s">
        <v>0</v>
      </c>
      <c r="K1" s="114"/>
    </row>
    <row r="2" spans="1:11">
      <c r="A2" t="s">
        <v>116</v>
      </c>
      <c r="B2" s="139">
        <v>22738</v>
      </c>
      <c r="C2" s="103">
        <v>0.5</v>
      </c>
      <c r="D2" s="103">
        <v>0</v>
      </c>
      <c r="E2" s="103">
        <v>0</v>
      </c>
      <c r="F2" s="103">
        <v>1</v>
      </c>
      <c r="G2" s="103">
        <v>0</v>
      </c>
      <c r="H2" s="103">
        <v>0</v>
      </c>
      <c r="I2" s="118">
        <v>2</v>
      </c>
      <c r="J2" s="115" t="s">
        <v>1</v>
      </c>
      <c r="K2" s="116"/>
    </row>
    <row r="3" spans="1:11">
      <c r="A3" t="s">
        <v>117</v>
      </c>
      <c r="B3" s="139">
        <v>5629</v>
      </c>
      <c r="C3" s="103">
        <v>0.5</v>
      </c>
      <c r="D3" s="103">
        <v>0</v>
      </c>
      <c r="E3" s="103">
        <v>0.75</v>
      </c>
      <c r="F3" s="103">
        <v>0</v>
      </c>
      <c r="G3" s="103">
        <v>0</v>
      </c>
      <c r="H3" s="103">
        <v>0</v>
      </c>
      <c r="I3" s="118">
        <v>2</v>
      </c>
    </row>
    <row r="4" spans="1:11">
      <c r="A4" t="s">
        <v>118</v>
      </c>
      <c r="B4" s="139">
        <v>14217</v>
      </c>
      <c r="C4" s="103">
        <v>0</v>
      </c>
      <c r="D4" s="103">
        <v>1</v>
      </c>
      <c r="E4" s="103">
        <v>0</v>
      </c>
      <c r="F4" s="103">
        <v>0</v>
      </c>
      <c r="G4" s="103">
        <v>0</v>
      </c>
      <c r="H4" s="103">
        <v>0</v>
      </c>
      <c r="I4" s="119">
        <v>1</v>
      </c>
    </row>
    <row r="5" spans="1:11">
      <c r="A5" t="s">
        <v>119</v>
      </c>
      <c r="B5" s="139">
        <v>5647</v>
      </c>
      <c r="C5" s="103">
        <v>0</v>
      </c>
      <c r="D5" s="103">
        <v>0</v>
      </c>
      <c r="E5" s="103">
        <v>0.75</v>
      </c>
      <c r="F5" s="103">
        <v>0</v>
      </c>
      <c r="G5" s="103">
        <v>0</v>
      </c>
      <c r="H5" s="103">
        <v>0</v>
      </c>
      <c r="I5" s="119">
        <v>1</v>
      </c>
    </row>
    <row r="6" spans="1:11">
      <c r="A6" t="s">
        <v>120</v>
      </c>
      <c r="B6" s="139">
        <v>22058</v>
      </c>
      <c r="C6" s="103">
        <v>0.25</v>
      </c>
      <c r="D6" s="103">
        <v>0</v>
      </c>
      <c r="E6" s="103">
        <v>0.75</v>
      </c>
      <c r="F6" s="103">
        <v>0</v>
      </c>
      <c r="G6" s="103">
        <v>0</v>
      </c>
      <c r="H6" s="103">
        <v>0</v>
      </c>
      <c r="I6" s="119">
        <v>1</v>
      </c>
    </row>
    <row r="7" spans="1:11">
      <c r="A7" t="s">
        <v>121</v>
      </c>
      <c r="B7" s="139">
        <v>9903</v>
      </c>
      <c r="C7" s="103">
        <v>0.25</v>
      </c>
      <c r="D7" s="103">
        <v>0</v>
      </c>
      <c r="E7" s="103">
        <v>0.75</v>
      </c>
      <c r="F7" s="103">
        <v>1</v>
      </c>
      <c r="G7" s="103">
        <v>0</v>
      </c>
      <c r="H7" s="103">
        <v>1</v>
      </c>
      <c r="I7" s="117">
        <v>3</v>
      </c>
    </row>
    <row r="8" spans="1:11">
      <c r="A8" t="s">
        <v>122</v>
      </c>
      <c r="B8" s="139">
        <v>42582</v>
      </c>
      <c r="C8" s="103">
        <v>0</v>
      </c>
      <c r="D8" s="103">
        <v>0.5</v>
      </c>
      <c r="E8" s="103">
        <v>0</v>
      </c>
      <c r="F8" s="103">
        <v>0</v>
      </c>
      <c r="G8" s="103">
        <v>0.5</v>
      </c>
      <c r="H8" s="103">
        <v>0</v>
      </c>
      <c r="I8" s="118">
        <v>2</v>
      </c>
    </row>
    <row r="9" spans="1:11">
      <c r="A9" t="s">
        <v>123</v>
      </c>
      <c r="B9" s="139">
        <v>29704</v>
      </c>
      <c r="C9" s="103">
        <v>0</v>
      </c>
      <c r="D9" s="103">
        <v>0</v>
      </c>
      <c r="E9" s="103">
        <v>0.75</v>
      </c>
      <c r="F9" s="103">
        <v>0</v>
      </c>
      <c r="G9" s="103">
        <v>0</v>
      </c>
      <c r="H9" s="103">
        <v>0</v>
      </c>
      <c r="I9" s="119">
        <v>1</v>
      </c>
    </row>
    <row r="10" spans="1:11">
      <c r="A10" t="s">
        <v>124</v>
      </c>
      <c r="B10" s="139">
        <v>116338</v>
      </c>
      <c r="C10" s="103">
        <v>0</v>
      </c>
      <c r="D10" s="103">
        <v>0</v>
      </c>
      <c r="E10" s="103">
        <v>0</v>
      </c>
      <c r="F10" s="103">
        <v>0</v>
      </c>
      <c r="G10" s="103">
        <v>0</v>
      </c>
      <c r="H10" s="103">
        <v>0</v>
      </c>
      <c r="I10" s="103">
        <v>0</v>
      </c>
    </row>
    <row r="11" spans="1:11">
      <c r="A11" t="s">
        <v>125</v>
      </c>
      <c r="B11" s="139">
        <v>47798</v>
      </c>
      <c r="C11" s="103">
        <v>0.25</v>
      </c>
      <c r="D11" s="103">
        <v>0</v>
      </c>
      <c r="E11" s="103">
        <v>0</v>
      </c>
      <c r="F11" s="103">
        <v>1</v>
      </c>
      <c r="G11" s="103">
        <v>0.5</v>
      </c>
      <c r="H11" s="103">
        <v>0</v>
      </c>
      <c r="I11" s="118">
        <v>2</v>
      </c>
    </row>
    <row r="12" spans="1:11">
      <c r="A12" t="s">
        <v>126</v>
      </c>
      <c r="B12" s="139">
        <v>47107</v>
      </c>
      <c r="C12" s="103">
        <v>0</v>
      </c>
      <c r="D12" s="103">
        <v>0.5</v>
      </c>
      <c r="E12" s="103">
        <v>0</v>
      </c>
      <c r="F12" s="103">
        <v>0</v>
      </c>
      <c r="G12" s="103">
        <v>0</v>
      </c>
      <c r="H12" s="103">
        <v>0</v>
      </c>
      <c r="I12" s="119">
        <v>1</v>
      </c>
    </row>
    <row r="13" spans="1:11">
      <c r="A13" t="s">
        <v>127</v>
      </c>
      <c r="B13" s="139">
        <v>15240</v>
      </c>
      <c r="C13" s="103">
        <v>0.75</v>
      </c>
      <c r="D13" s="103">
        <v>1</v>
      </c>
      <c r="E13" s="103">
        <v>0</v>
      </c>
      <c r="F13" s="103">
        <v>1</v>
      </c>
      <c r="G13" s="103">
        <v>0</v>
      </c>
      <c r="H13" s="103">
        <v>0</v>
      </c>
      <c r="I13" s="117">
        <v>3</v>
      </c>
    </row>
    <row r="14" spans="1:11">
      <c r="A14" t="s">
        <v>128</v>
      </c>
      <c r="B14" s="139">
        <v>2468</v>
      </c>
      <c r="C14" s="103">
        <v>0</v>
      </c>
      <c r="D14" s="103">
        <v>0</v>
      </c>
      <c r="E14" s="103">
        <v>0.75</v>
      </c>
      <c r="F14" s="103">
        <v>0</v>
      </c>
      <c r="G14" s="103">
        <v>0</v>
      </c>
      <c r="H14" s="103">
        <v>0</v>
      </c>
      <c r="I14" s="119">
        <v>1</v>
      </c>
    </row>
    <row r="15" spans="1:11">
      <c r="A15" t="s">
        <v>129</v>
      </c>
      <c r="B15" s="139">
        <v>257093</v>
      </c>
      <c r="C15" s="103">
        <v>0</v>
      </c>
      <c r="D15" s="103">
        <v>0</v>
      </c>
      <c r="E15" s="103">
        <v>0</v>
      </c>
      <c r="F15" s="103">
        <v>0</v>
      </c>
      <c r="G15" s="103">
        <v>1</v>
      </c>
      <c r="H15" s="103">
        <v>0</v>
      </c>
      <c r="I15" s="119">
        <v>1</v>
      </c>
    </row>
    <row r="16" spans="1:11">
      <c r="A16" t="s">
        <v>130</v>
      </c>
      <c r="B16" s="139">
        <v>5894</v>
      </c>
      <c r="C16" s="103">
        <v>0.5</v>
      </c>
      <c r="D16" s="103">
        <v>0</v>
      </c>
      <c r="E16" s="103">
        <v>0</v>
      </c>
      <c r="F16" s="103">
        <v>1</v>
      </c>
      <c r="G16" s="103">
        <v>0</v>
      </c>
      <c r="H16" s="103">
        <v>0</v>
      </c>
      <c r="I16" s="118">
        <v>2</v>
      </c>
    </row>
    <row r="17" spans="1:10">
      <c r="A17" t="s">
        <v>131</v>
      </c>
      <c r="B17" s="139">
        <v>125405</v>
      </c>
      <c r="C17" s="103">
        <v>0</v>
      </c>
      <c r="D17" s="103">
        <v>0</v>
      </c>
      <c r="E17" s="103">
        <v>0.75</v>
      </c>
      <c r="F17" s="103">
        <v>0</v>
      </c>
      <c r="G17" s="103">
        <v>1</v>
      </c>
      <c r="H17" s="103">
        <v>0</v>
      </c>
      <c r="I17" s="118">
        <v>2</v>
      </c>
    </row>
    <row r="18" spans="1:10">
      <c r="A18" t="s">
        <v>132</v>
      </c>
      <c r="B18" s="139">
        <v>6174</v>
      </c>
      <c r="C18" s="103">
        <v>0</v>
      </c>
      <c r="D18" s="103">
        <v>1</v>
      </c>
      <c r="E18" s="103">
        <v>0.75</v>
      </c>
      <c r="F18" s="103">
        <v>0</v>
      </c>
      <c r="G18" s="103">
        <v>0</v>
      </c>
      <c r="H18" s="103">
        <v>0</v>
      </c>
      <c r="I18" s="118">
        <v>2</v>
      </c>
    </row>
    <row r="19" spans="1:10">
      <c r="A19" t="s">
        <v>133</v>
      </c>
      <c r="B19" s="139">
        <v>15057</v>
      </c>
      <c r="C19" s="103">
        <v>0</v>
      </c>
      <c r="D19" s="103">
        <v>0</v>
      </c>
      <c r="E19" s="103">
        <v>0</v>
      </c>
      <c r="F19" s="103">
        <v>0</v>
      </c>
      <c r="G19" s="103">
        <v>0</v>
      </c>
      <c r="H19" s="103">
        <v>0</v>
      </c>
      <c r="I19" s="103">
        <v>0</v>
      </c>
    </row>
    <row r="20" spans="1:10">
      <c r="A20" t="s">
        <v>134</v>
      </c>
      <c r="B20" s="139">
        <v>70201</v>
      </c>
      <c r="C20" s="103">
        <v>0</v>
      </c>
      <c r="D20" s="103">
        <v>0</v>
      </c>
      <c r="E20" s="103">
        <v>0</v>
      </c>
      <c r="F20" s="103">
        <v>0</v>
      </c>
      <c r="G20" s="103">
        <v>0</v>
      </c>
      <c r="H20" s="103">
        <v>0</v>
      </c>
      <c r="I20" s="103">
        <v>0</v>
      </c>
    </row>
    <row r="21" spans="1:10">
      <c r="A21" t="s">
        <v>135</v>
      </c>
      <c r="B21" s="139">
        <v>27473</v>
      </c>
      <c r="C21" s="103">
        <v>0</v>
      </c>
      <c r="D21" s="103">
        <v>0</v>
      </c>
      <c r="E21" s="103">
        <v>0.75</v>
      </c>
      <c r="F21" s="103">
        <v>0</v>
      </c>
      <c r="G21" s="103">
        <v>0</v>
      </c>
      <c r="H21" s="103">
        <v>0</v>
      </c>
      <c r="I21" s="119">
        <v>1</v>
      </c>
    </row>
    <row r="22" spans="1:10">
      <c r="A22" t="s">
        <v>136</v>
      </c>
      <c r="B22" s="139">
        <v>41581</v>
      </c>
      <c r="C22" s="103">
        <v>0</v>
      </c>
      <c r="D22" s="103">
        <v>0</v>
      </c>
      <c r="E22" s="103">
        <v>0</v>
      </c>
      <c r="F22" s="103">
        <v>0</v>
      </c>
      <c r="G22" s="103">
        <v>0</v>
      </c>
      <c r="H22" s="103">
        <v>0</v>
      </c>
      <c r="I22" s="103">
        <v>0</v>
      </c>
    </row>
    <row r="23" spans="1:10">
      <c r="A23" s="121" t="s">
        <v>137</v>
      </c>
      <c r="B23" s="139">
        <v>4807</v>
      </c>
      <c r="C23" s="103">
        <v>0</v>
      </c>
      <c r="D23" s="103">
        <v>0.5</v>
      </c>
      <c r="E23" s="103">
        <v>0.75</v>
      </c>
      <c r="F23" s="103">
        <v>0</v>
      </c>
      <c r="G23" s="103">
        <v>0.5</v>
      </c>
      <c r="H23" s="103">
        <v>0</v>
      </c>
      <c r="I23" s="117">
        <v>3</v>
      </c>
    </row>
    <row r="24" spans="1:10">
      <c r="A24" t="s">
        <v>138</v>
      </c>
      <c r="B24" s="139">
        <v>4156</v>
      </c>
      <c r="C24" s="103">
        <v>0.5</v>
      </c>
      <c r="D24" s="103">
        <v>0</v>
      </c>
      <c r="E24" s="103">
        <v>0.75</v>
      </c>
      <c r="F24" s="103">
        <v>0</v>
      </c>
      <c r="G24" s="103">
        <v>0</v>
      </c>
      <c r="H24" s="103">
        <v>0</v>
      </c>
      <c r="I24" s="118">
        <v>2</v>
      </c>
    </row>
    <row r="25" spans="1:10">
      <c r="A25" t="s">
        <v>139</v>
      </c>
      <c r="B25" s="139">
        <v>60736</v>
      </c>
      <c r="C25" s="103">
        <v>0</v>
      </c>
      <c r="D25" s="103">
        <v>0</v>
      </c>
      <c r="E25" s="103">
        <v>0.75</v>
      </c>
      <c r="F25" s="103">
        <v>0</v>
      </c>
      <c r="G25" s="103">
        <v>0.5</v>
      </c>
      <c r="H25" s="103">
        <v>0</v>
      </c>
      <c r="I25" s="118">
        <v>2</v>
      </c>
    </row>
    <row r="26" spans="1:10">
      <c r="A26" t="s">
        <v>140</v>
      </c>
      <c r="B26" s="139">
        <v>27557</v>
      </c>
      <c r="C26" s="103">
        <v>0.25</v>
      </c>
      <c r="D26" s="103">
        <v>0</v>
      </c>
      <c r="E26" s="103">
        <v>0</v>
      </c>
      <c r="F26" s="103">
        <v>0</v>
      </c>
      <c r="G26" s="103">
        <v>0</v>
      </c>
      <c r="H26" s="103">
        <v>0</v>
      </c>
      <c r="I26" s="103">
        <v>0</v>
      </c>
    </row>
    <row r="27" spans="1:10">
      <c r="A27" t="s">
        <v>141</v>
      </c>
      <c r="B27" s="139">
        <v>52443</v>
      </c>
      <c r="C27" s="103">
        <v>0</v>
      </c>
      <c r="D27" s="103">
        <v>0</v>
      </c>
      <c r="E27" s="103">
        <v>0</v>
      </c>
      <c r="F27" s="103">
        <v>0</v>
      </c>
      <c r="G27" s="103">
        <v>0</v>
      </c>
      <c r="H27" s="103">
        <v>0</v>
      </c>
      <c r="I27" s="103">
        <v>0</v>
      </c>
    </row>
    <row r="28" spans="1:10">
      <c r="A28" t="s">
        <v>142</v>
      </c>
      <c r="B28" s="139">
        <v>4532</v>
      </c>
      <c r="C28" s="103">
        <v>0</v>
      </c>
      <c r="D28" s="103">
        <v>0</v>
      </c>
      <c r="E28" s="103">
        <v>0.75</v>
      </c>
      <c r="F28" s="103">
        <v>0</v>
      </c>
      <c r="G28" s="103">
        <v>0</v>
      </c>
      <c r="H28" s="103">
        <v>0</v>
      </c>
      <c r="I28" s="119">
        <v>1</v>
      </c>
    </row>
    <row r="29" spans="1:10">
      <c r="A29" s="121" t="s">
        <v>143</v>
      </c>
      <c r="B29" s="139">
        <v>6207</v>
      </c>
      <c r="C29" s="103">
        <v>0.5</v>
      </c>
      <c r="D29" s="103">
        <v>0</v>
      </c>
      <c r="E29" s="103">
        <v>0.75</v>
      </c>
      <c r="F29" s="103">
        <v>0</v>
      </c>
      <c r="G29" s="103">
        <v>0</v>
      </c>
      <c r="H29" s="103">
        <v>1</v>
      </c>
      <c r="I29" s="117">
        <v>3</v>
      </c>
    </row>
    <row r="30" spans="1:10">
      <c r="A30" s="121" t="s">
        <v>144</v>
      </c>
      <c r="B30" s="139">
        <v>2917</v>
      </c>
      <c r="C30" s="103">
        <v>0.25</v>
      </c>
      <c r="D30" s="103">
        <v>1</v>
      </c>
      <c r="E30" s="103">
        <v>0.75</v>
      </c>
      <c r="F30" s="103">
        <v>0</v>
      </c>
      <c r="G30" s="103">
        <v>0.5</v>
      </c>
      <c r="H30" s="103">
        <v>1</v>
      </c>
      <c r="I30" s="117">
        <v>4</v>
      </c>
      <c r="J30" s="120"/>
    </row>
    <row r="31" spans="1:10">
      <c r="A31" t="s">
        <v>145</v>
      </c>
      <c r="B31" s="139">
        <v>3697</v>
      </c>
      <c r="C31" s="103">
        <v>0</v>
      </c>
      <c r="D31" s="103">
        <v>0</v>
      </c>
      <c r="E31" s="103">
        <v>0.75</v>
      </c>
      <c r="F31" s="103">
        <v>0</v>
      </c>
      <c r="G31" s="103">
        <v>0</v>
      </c>
      <c r="H31" s="103">
        <v>0</v>
      </c>
      <c r="I31" s="119">
        <v>1</v>
      </c>
    </row>
    <row r="32" spans="1:10">
      <c r="A32" t="s">
        <v>146</v>
      </c>
      <c r="B32" s="139">
        <v>12763</v>
      </c>
      <c r="C32" s="103">
        <v>0.25</v>
      </c>
      <c r="D32" s="103">
        <v>0</v>
      </c>
      <c r="E32" s="103">
        <v>0</v>
      </c>
      <c r="F32" s="103">
        <v>0</v>
      </c>
      <c r="G32" s="103">
        <v>0</v>
      </c>
      <c r="H32" s="103">
        <v>0</v>
      </c>
      <c r="I32" s="103">
        <v>0</v>
      </c>
    </row>
    <row r="33" spans="1:9">
      <c r="A33" t="s">
        <v>147</v>
      </c>
      <c r="B33" s="139">
        <v>14031</v>
      </c>
      <c r="C33" s="103">
        <v>0.25</v>
      </c>
      <c r="D33" s="103">
        <v>0</v>
      </c>
      <c r="E33" s="103">
        <v>0</v>
      </c>
      <c r="F33" s="103">
        <v>0</v>
      </c>
      <c r="G33" s="103">
        <v>0</v>
      </c>
      <c r="H33" s="103">
        <v>1</v>
      </c>
      <c r="I33" s="119">
        <v>1</v>
      </c>
    </row>
    <row r="34" spans="1:9">
      <c r="A34" t="s">
        <v>148</v>
      </c>
      <c r="B34" s="139">
        <v>26483</v>
      </c>
      <c r="C34" s="103">
        <v>0</v>
      </c>
      <c r="D34" s="103">
        <v>0.5</v>
      </c>
      <c r="E34" s="103">
        <v>0.75</v>
      </c>
      <c r="F34" s="103">
        <v>0</v>
      </c>
      <c r="G34" s="103">
        <v>0</v>
      </c>
      <c r="H34" s="103">
        <v>0</v>
      </c>
      <c r="I34" s="118">
        <v>2</v>
      </c>
    </row>
    <row r="35" spans="1:9">
      <c r="A35" t="s">
        <v>149</v>
      </c>
      <c r="B35" s="139">
        <v>6449</v>
      </c>
      <c r="C35" s="103">
        <v>0.25</v>
      </c>
      <c r="D35" s="103">
        <v>1</v>
      </c>
      <c r="E35" s="103">
        <v>0.75</v>
      </c>
      <c r="F35" s="103">
        <v>0</v>
      </c>
      <c r="G35" s="103">
        <v>0</v>
      </c>
      <c r="H35" s="103">
        <v>0</v>
      </c>
      <c r="I35" s="118">
        <v>2</v>
      </c>
    </row>
    <row r="36" spans="1:9">
      <c r="A36" t="s">
        <v>150</v>
      </c>
      <c r="B36" s="139">
        <v>11002</v>
      </c>
      <c r="C36" s="103">
        <v>0</v>
      </c>
      <c r="D36" s="103">
        <v>0</v>
      </c>
      <c r="E36" s="103">
        <v>0</v>
      </c>
      <c r="F36" s="103">
        <v>1</v>
      </c>
      <c r="G36" s="103">
        <v>0</v>
      </c>
      <c r="H36" s="103">
        <v>0</v>
      </c>
      <c r="I36" s="103">
        <v>1</v>
      </c>
    </row>
    <row r="37" spans="1:9">
      <c r="A37" t="s">
        <v>151</v>
      </c>
      <c r="B37" s="139">
        <v>46433</v>
      </c>
      <c r="C37" s="103">
        <v>0</v>
      </c>
      <c r="D37" s="103">
        <v>0</v>
      </c>
      <c r="E37" s="103">
        <v>0</v>
      </c>
      <c r="F37" s="103">
        <v>0</v>
      </c>
      <c r="G37" s="103">
        <v>1</v>
      </c>
      <c r="H37" s="103">
        <v>1</v>
      </c>
      <c r="I37" s="118">
        <v>2</v>
      </c>
    </row>
    <row r="38" spans="1:9">
      <c r="A38" t="s">
        <v>152</v>
      </c>
      <c r="B38" s="139">
        <v>15049</v>
      </c>
      <c r="C38" s="103">
        <v>0</v>
      </c>
      <c r="D38" s="103">
        <v>0</v>
      </c>
      <c r="E38" s="103">
        <v>0.75</v>
      </c>
      <c r="F38" s="103">
        <v>0</v>
      </c>
      <c r="G38" s="103">
        <v>0</v>
      </c>
      <c r="H38" s="103">
        <v>0</v>
      </c>
      <c r="I38" s="119">
        <v>1</v>
      </c>
    </row>
    <row r="39" spans="1:9">
      <c r="A39" t="s">
        <v>153</v>
      </c>
      <c r="B39" s="139">
        <v>9442</v>
      </c>
      <c r="C39" s="103">
        <v>0.5</v>
      </c>
      <c r="D39" s="103">
        <v>0</v>
      </c>
      <c r="E39" s="103">
        <v>0.75</v>
      </c>
      <c r="F39" s="103">
        <v>0</v>
      </c>
      <c r="G39" s="103">
        <v>0</v>
      </c>
      <c r="H39" s="103">
        <v>0</v>
      </c>
      <c r="I39" s="118">
        <v>2</v>
      </c>
    </row>
    <row r="40" spans="1:9">
      <c r="A40" t="s">
        <v>154</v>
      </c>
      <c r="B40" s="139">
        <v>11153</v>
      </c>
      <c r="C40" s="103">
        <v>0.5</v>
      </c>
      <c r="D40" s="103">
        <v>0</v>
      </c>
      <c r="E40" s="103">
        <v>0</v>
      </c>
      <c r="F40" s="103">
        <v>0</v>
      </c>
      <c r="G40" s="103">
        <v>0</v>
      </c>
      <c r="H40" s="103">
        <v>0</v>
      </c>
      <c r="I40" s="119">
        <v>1</v>
      </c>
    </row>
    <row r="41" spans="1:9">
      <c r="A41" t="s">
        <v>155</v>
      </c>
      <c r="B41" s="139">
        <v>50497</v>
      </c>
      <c r="C41" s="103">
        <v>0.5</v>
      </c>
      <c r="D41" s="103">
        <v>0</v>
      </c>
      <c r="E41" s="103">
        <v>0</v>
      </c>
      <c r="F41" s="103">
        <v>0</v>
      </c>
      <c r="G41" s="103">
        <v>0</v>
      </c>
      <c r="H41" s="103">
        <v>0</v>
      </c>
      <c r="I41" s="119">
        <v>1</v>
      </c>
    </row>
    <row r="42" spans="1:9">
      <c r="A42" t="s">
        <v>156</v>
      </c>
      <c r="B42" s="139">
        <v>34355</v>
      </c>
      <c r="C42" s="103">
        <v>0</v>
      </c>
      <c r="D42" s="103">
        <v>0</v>
      </c>
      <c r="E42" s="103">
        <v>0</v>
      </c>
      <c r="F42" s="103">
        <v>0</v>
      </c>
      <c r="G42" s="103">
        <v>0</v>
      </c>
      <c r="H42" s="103">
        <v>0</v>
      </c>
      <c r="I42" s="103">
        <v>0</v>
      </c>
    </row>
    <row r="43" spans="1:9">
      <c r="A43" t="s">
        <v>157</v>
      </c>
      <c r="B43" s="139">
        <v>42054</v>
      </c>
      <c r="C43" s="103">
        <v>0</v>
      </c>
      <c r="D43" s="103">
        <v>0</v>
      </c>
      <c r="E43" s="103">
        <v>0.75</v>
      </c>
      <c r="F43" s="103">
        <v>0</v>
      </c>
      <c r="G43" s="103">
        <v>0</v>
      </c>
      <c r="H43" s="103">
        <v>0</v>
      </c>
      <c r="I43" s="119">
        <v>1</v>
      </c>
    </row>
    <row r="44" spans="1:9">
      <c r="A44" t="s">
        <v>158</v>
      </c>
      <c r="B44" s="139">
        <v>9416</v>
      </c>
      <c r="C44" s="103">
        <v>0</v>
      </c>
      <c r="D44" s="103">
        <v>0.5</v>
      </c>
      <c r="E44" s="103">
        <v>0</v>
      </c>
      <c r="F44" s="103">
        <v>0</v>
      </c>
      <c r="G44" s="103">
        <v>0</v>
      </c>
      <c r="H44" s="103">
        <v>0</v>
      </c>
      <c r="I44" s="119">
        <v>1</v>
      </c>
    </row>
    <row r="45" spans="1:9">
      <c r="A45" t="s">
        <v>159</v>
      </c>
      <c r="B45" s="139">
        <v>7518</v>
      </c>
      <c r="C45" s="103">
        <v>0.25</v>
      </c>
      <c r="D45" s="103">
        <v>0</v>
      </c>
      <c r="E45" s="103">
        <v>0.75</v>
      </c>
      <c r="F45" s="103">
        <v>0</v>
      </c>
      <c r="G45" s="103">
        <v>0</v>
      </c>
      <c r="H45" s="103">
        <v>0</v>
      </c>
      <c r="I45" s="119">
        <v>1</v>
      </c>
    </row>
    <row r="46" spans="1:9">
      <c r="A46" t="s">
        <v>160</v>
      </c>
      <c r="B46" s="139">
        <v>15833</v>
      </c>
      <c r="C46" s="103">
        <v>0</v>
      </c>
      <c r="D46" s="103">
        <v>0</v>
      </c>
      <c r="E46" s="103">
        <v>0</v>
      </c>
      <c r="F46" s="103">
        <v>0</v>
      </c>
      <c r="G46" s="103">
        <v>0</v>
      </c>
      <c r="H46" s="103">
        <v>0</v>
      </c>
      <c r="I46" s="103">
        <v>0</v>
      </c>
    </row>
    <row r="47" spans="1:9">
      <c r="A47" t="s">
        <v>161</v>
      </c>
      <c r="B47" s="139">
        <v>41309</v>
      </c>
      <c r="C47" s="103">
        <v>0</v>
      </c>
      <c r="D47" s="103">
        <v>0</v>
      </c>
      <c r="E47" s="103">
        <v>0</v>
      </c>
      <c r="F47" s="103">
        <v>1</v>
      </c>
      <c r="G47" s="103">
        <v>0</v>
      </c>
      <c r="H47" s="103">
        <v>1</v>
      </c>
      <c r="I47" s="118">
        <v>2</v>
      </c>
    </row>
    <row r="48" spans="1:9">
      <c r="A48" t="s">
        <v>162</v>
      </c>
      <c r="B48" s="139">
        <v>34736</v>
      </c>
      <c r="C48" s="103">
        <v>0</v>
      </c>
      <c r="D48" s="103">
        <v>0</v>
      </c>
      <c r="E48" s="103">
        <v>0</v>
      </c>
      <c r="F48" s="103">
        <v>0</v>
      </c>
      <c r="G48" s="103">
        <v>0</v>
      </c>
      <c r="H48" s="103">
        <v>0</v>
      </c>
      <c r="I48" s="103">
        <v>0</v>
      </c>
    </row>
    <row r="49" spans="1:9">
      <c r="A49" t="s">
        <v>163</v>
      </c>
      <c r="B49" s="139">
        <v>33201</v>
      </c>
      <c r="C49" s="103">
        <v>0.75</v>
      </c>
      <c r="D49" s="103">
        <v>0</v>
      </c>
      <c r="E49" s="103">
        <v>0</v>
      </c>
      <c r="F49" s="103">
        <v>0</v>
      </c>
      <c r="G49" s="103">
        <v>0.5</v>
      </c>
      <c r="H49" s="103">
        <v>0</v>
      </c>
      <c r="I49" s="118">
        <v>2</v>
      </c>
    </row>
    <row r="50" spans="1:9">
      <c r="A50" t="s">
        <v>164</v>
      </c>
      <c r="B50" s="139">
        <v>20261</v>
      </c>
      <c r="C50" s="103">
        <v>0.5</v>
      </c>
      <c r="D50" s="103">
        <v>0</v>
      </c>
      <c r="E50" s="103">
        <v>0</v>
      </c>
      <c r="F50" s="103">
        <v>1</v>
      </c>
      <c r="G50" s="103">
        <v>0</v>
      </c>
      <c r="H50" s="103">
        <v>0</v>
      </c>
      <c r="I50" s="118">
        <v>2</v>
      </c>
    </row>
    <row r="51" spans="1:9">
      <c r="A51" t="s">
        <v>165</v>
      </c>
      <c r="B51" s="139">
        <v>13524</v>
      </c>
      <c r="C51" s="103">
        <v>0.25</v>
      </c>
      <c r="D51" s="103">
        <v>0</v>
      </c>
      <c r="E51" s="103">
        <v>0</v>
      </c>
      <c r="F51" s="103">
        <v>1</v>
      </c>
      <c r="G51" s="103">
        <v>0</v>
      </c>
      <c r="H51" s="103">
        <v>0</v>
      </c>
      <c r="I51" s="103">
        <v>0</v>
      </c>
    </row>
    <row r="52" spans="1:9">
      <c r="A52" t="s">
        <v>166</v>
      </c>
      <c r="B52" s="139">
        <v>71115</v>
      </c>
      <c r="C52" s="103">
        <v>0.5</v>
      </c>
      <c r="D52" s="103">
        <v>0</v>
      </c>
      <c r="E52" s="103">
        <v>0</v>
      </c>
      <c r="F52" s="103">
        <v>1</v>
      </c>
      <c r="G52" s="103">
        <v>0.5</v>
      </c>
      <c r="H52" s="103">
        <v>0</v>
      </c>
      <c r="I52" s="117">
        <v>3</v>
      </c>
    </row>
    <row r="53" spans="1:9">
      <c r="A53" t="s">
        <v>167</v>
      </c>
      <c r="B53" s="139">
        <v>11555</v>
      </c>
      <c r="C53" s="103">
        <v>0</v>
      </c>
      <c r="D53" s="103">
        <v>0</v>
      </c>
      <c r="E53" s="103">
        <v>0</v>
      </c>
      <c r="F53" s="103">
        <v>0</v>
      </c>
      <c r="G53" s="103">
        <v>0</v>
      </c>
      <c r="H53" s="103">
        <v>1</v>
      </c>
      <c r="I53" s="119">
        <v>1</v>
      </c>
    </row>
    <row r="54" spans="1:9">
      <c r="A54" t="s">
        <v>168</v>
      </c>
      <c r="B54" s="139">
        <v>10520</v>
      </c>
      <c r="C54" s="103">
        <v>0</v>
      </c>
      <c r="D54" s="103">
        <v>0</v>
      </c>
      <c r="E54" s="103">
        <v>0</v>
      </c>
      <c r="F54" s="103">
        <v>0</v>
      </c>
      <c r="G54" s="103">
        <v>0</v>
      </c>
      <c r="H54" s="103">
        <v>0</v>
      </c>
      <c r="I54" s="103">
        <v>0</v>
      </c>
    </row>
    <row r="55" spans="1:9">
      <c r="A55" t="s">
        <v>169</v>
      </c>
      <c r="B55" s="139">
        <v>12225</v>
      </c>
      <c r="C55" s="103">
        <v>0.75</v>
      </c>
      <c r="D55" s="103">
        <v>0</v>
      </c>
      <c r="E55" s="103">
        <v>0</v>
      </c>
      <c r="F55" s="103">
        <v>0</v>
      </c>
      <c r="G55" s="103">
        <v>0</v>
      </c>
      <c r="H55" s="103">
        <v>0</v>
      </c>
      <c r="I55" s="119">
        <v>1</v>
      </c>
    </row>
    <row r="56" spans="1:9">
      <c r="A56" s="121" t="s">
        <v>170</v>
      </c>
      <c r="B56" s="139">
        <v>720724</v>
      </c>
      <c r="C56" s="103">
        <v>0.25</v>
      </c>
      <c r="D56" s="103">
        <v>0</v>
      </c>
      <c r="E56" s="103">
        <v>0.25</v>
      </c>
      <c r="F56" s="103">
        <v>0</v>
      </c>
      <c r="G56" s="103">
        <v>1</v>
      </c>
      <c r="H56" s="103">
        <v>0</v>
      </c>
      <c r="I56" s="119">
        <v>1</v>
      </c>
    </row>
    <row r="57" spans="1:9">
      <c r="A57" t="s">
        <v>171</v>
      </c>
      <c r="B57" s="139">
        <v>40082</v>
      </c>
      <c r="C57" s="103">
        <v>0.25</v>
      </c>
      <c r="D57" s="103">
        <v>0</v>
      </c>
      <c r="E57" s="103">
        <v>0</v>
      </c>
      <c r="F57" s="103">
        <v>0</v>
      </c>
      <c r="G57" s="103">
        <v>0</v>
      </c>
      <c r="H57" s="103">
        <v>0</v>
      </c>
      <c r="I57" s="103">
        <v>0</v>
      </c>
    </row>
    <row r="58" spans="1:9">
      <c r="A58" t="s">
        <v>172</v>
      </c>
      <c r="B58" s="139">
        <v>47504</v>
      </c>
      <c r="C58" s="103">
        <v>0</v>
      </c>
      <c r="D58" s="103">
        <v>0</v>
      </c>
      <c r="E58" s="103">
        <v>0</v>
      </c>
      <c r="F58" s="103">
        <v>0</v>
      </c>
      <c r="G58" s="103">
        <v>0</v>
      </c>
      <c r="H58" s="103">
        <v>0</v>
      </c>
      <c r="I58" s="103">
        <v>0</v>
      </c>
    </row>
    <row r="59" spans="1:9">
      <c r="A59" t="s">
        <v>173</v>
      </c>
      <c r="B59" s="139">
        <v>31854</v>
      </c>
      <c r="C59" s="103">
        <v>0</v>
      </c>
      <c r="D59" s="103">
        <v>0</v>
      </c>
      <c r="E59" s="103">
        <v>0</v>
      </c>
      <c r="F59" s="103">
        <v>0</v>
      </c>
      <c r="G59" s="103">
        <v>0</v>
      </c>
      <c r="H59" s="103">
        <v>0</v>
      </c>
      <c r="I59" s="103">
        <v>0</v>
      </c>
    </row>
    <row r="60" spans="1:9">
      <c r="A60" t="s">
        <v>174</v>
      </c>
      <c r="B60" s="139">
        <v>16597</v>
      </c>
      <c r="C60" s="103">
        <v>0</v>
      </c>
      <c r="D60" s="103">
        <v>0.5</v>
      </c>
      <c r="E60" s="103">
        <v>0</v>
      </c>
      <c r="F60" s="103">
        <v>0</v>
      </c>
      <c r="G60" s="103">
        <v>0</v>
      </c>
      <c r="H60" s="103">
        <v>0</v>
      </c>
      <c r="I60" s="119">
        <v>1</v>
      </c>
    </row>
    <row r="61" spans="1:9">
      <c r="A61" t="s">
        <v>175</v>
      </c>
      <c r="B61" s="139">
        <v>77409</v>
      </c>
      <c r="C61" s="103">
        <v>0.5</v>
      </c>
      <c r="D61" s="103">
        <v>0</v>
      </c>
      <c r="E61" s="103">
        <v>0</v>
      </c>
      <c r="F61" s="103">
        <v>0</v>
      </c>
      <c r="G61" s="103">
        <v>0.5</v>
      </c>
      <c r="H61" s="103">
        <v>0</v>
      </c>
      <c r="I61" s="118">
        <v>2</v>
      </c>
    </row>
    <row r="62" spans="1:9">
      <c r="A62" t="s">
        <v>176</v>
      </c>
      <c r="B62" s="139">
        <v>45781</v>
      </c>
      <c r="C62" s="103">
        <v>0</v>
      </c>
      <c r="D62" s="103">
        <v>0</v>
      </c>
      <c r="E62" s="103">
        <v>0</v>
      </c>
      <c r="F62" s="103">
        <v>1</v>
      </c>
      <c r="G62" s="103">
        <v>0.5</v>
      </c>
      <c r="H62" s="103">
        <v>0</v>
      </c>
      <c r="I62" s="118">
        <v>2</v>
      </c>
    </row>
    <row r="63" spans="1:9">
      <c r="A63" t="s">
        <v>177</v>
      </c>
      <c r="B63" s="139">
        <v>37601</v>
      </c>
      <c r="C63" s="103">
        <v>0</v>
      </c>
      <c r="D63" s="103">
        <v>0</v>
      </c>
      <c r="E63" s="103">
        <v>0</v>
      </c>
      <c r="F63" s="103">
        <v>0</v>
      </c>
      <c r="G63" s="103">
        <v>0</v>
      </c>
      <c r="H63" s="103">
        <v>0</v>
      </c>
      <c r="I63" s="103">
        <v>0</v>
      </c>
    </row>
    <row r="64" spans="1:9">
      <c r="A64" t="s">
        <v>178</v>
      </c>
      <c r="B64" s="139">
        <v>69636</v>
      </c>
      <c r="C64" s="103">
        <v>0</v>
      </c>
      <c r="D64" s="103">
        <v>0</v>
      </c>
      <c r="E64" s="103">
        <v>0</v>
      </c>
      <c r="F64" s="103">
        <v>0</v>
      </c>
      <c r="G64" s="103">
        <v>0.5</v>
      </c>
      <c r="H64" s="103">
        <v>0</v>
      </c>
      <c r="I64" s="119">
        <v>1</v>
      </c>
    </row>
    <row r="65" spans="1:9">
      <c r="A65" s="121" t="s">
        <v>179</v>
      </c>
      <c r="B65" s="139">
        <v>11586</v>
      </c>
      <c r="C65" s="103">
        <v>0.5</v>
      </c>
      <c r="D65" s="103">
        <v>1</v>
      </c>
      <c r="E65" s="103">
        <v>0</v>
      </c>
      <c r="F65" s="103">
        <v>1</v>
      </c>
      <c r="G65" s="103">
        <v>0</v>
      </c>
      <c r="H65" s="103">
        <v>1</v>
      </c>
      <c r="I65" s="117">
        <v>4</v>
      </c>
    </row>
    <row r="66" spans="1:9">
      <c r="A66" t="s">
        <v>180</v>
      </c>
      <c r="B66" s="139">
        <v>3648</v>
      </c>
      <c r="C66" s="103">
        <v>0.5</v>
      </c>
      <c r="D66" s="103">
        <v>0</v>
      </c>
      <c r="E66" s="103">
        <v>0.75</v>
      </c>
      <c r="F66" s="103">
        <v>0</v>
      </c>
      <c r="G66" s="103">
        <v>0</v>
      </c>
      <c r="H66" s="103">
        <v>0</v>
      </c>
      <c r="I66" s="118">
        <v>2</v>
      </c>
    </row>
    <row r="67" spans="1:9">
      <c r="A67" t="s">
        <v>181</v>
      </c>
      <c r="B67" s="139">
        <v>86990</v>
      </c>
      <c r="C67" s="103">
        <v>0</v>
      </c>
      <c r="D67" s="103">
        <v>0</v>
      </c>
      <c r="E67" s="103">
        <v>0</v>
      </c>
      <c r="F67" s="103">
        <v>0</v>
      </c>
      <c r="G67" s="103">
        <v>0</v>
      </c>
      <c r="H67" s="103">
        <v>0</v>
      </c>
      <c r="I67" s="103">
        <v>0</v>
      </c>
    </row>
    <row r="68" spans="1:9">
      <c r="A68" t="s">
        <v>182</v>
      </c>
      <c r="B68" s="139">
        <v>25481</v>
      </c>
      <c r="C68" s="103">
        <v>0.5</v>
      </c>
      <c r="D68" s="103">
        <v>0</v>
      </c>
      <c r="E68" s="103">
        <v>0</v>
      </c>
      <c r="F68" s="103">
        <v>0</v>
      </c>
      <c r="G68" s="103">
        <v>0</v>
      </c>
      <c r="H68" s="103">
        <v>0</v>
      </c>
      <c r="I68" s="119">
        <v>1</v>
      </c>
    </row>
    <row r="69" spans="1:9">
      <c r="A69" t="s">
        <v>183</v>
      </c>
      <c r="B69" s="139">
        <v>42465</v>
      </c>
      <c r="C69" s="103">
        <v>0</v>
      </c>
      <c r="D69" s="103">
        <v>0</v>
      </c>
      <c r="E69" s="103">
        <v>0</v>
      </c>
      <c r="F69" s="103">
        <v>0</v>
      </c>
      <c r="G69" s="103">
        <v>0.5</v>
      </c>
      <c r="H69" s="103">
        <v>0</v>
      </c>
      <c r="I69" s="119">
        <v>1</v>
      </c>
    </row>
    <row r="70" spans="1:9">
      <c r="A70" t="s">
        <v>184</v>
      </c>
      <c r="B70" s="139">
        <v>45101</v>
      </c>
      <c r="C70" s="103">
        <v>0.25</v>
      </c>
      <c r="D70" s="103">
        <v>0.5</v>
      </c>
      <c r="E70" s="103">
        <v>0.75</v>
      </c>
      <c r="F70" s="103">
        <v>0</v>
      </c>
      <c r="G70" s="103">
        <v>0</v>
      </c>
      <c r="H70" s="103">
        <v>0</v>
      </c>
      <c r="I70" s="118">
        <v>2</v>
      </c>
    </row>
    <row r="71" spans="1:9">
      <c r="A71" t="s">
        <v>185</v>
      </c>
      <c r="B71" s="139">
        <v>20819</v>
      </c>
      <c r="C71" s="103">
        <v>0</v>
      </c>
      <c r="D71" s="103">
        <v>0</v>
      </c>
      <c r="E71" s="103">
        <v>0.75</v>
      </c>
      <c r="F71" s="103">
        <v>0</v>
      </c>
      <c r="G71" s="103">
        <v>0</v>
      </c>
      <c r="H71" s="103">
        <v>0</v>
      </c>
      <c r="I71" s="119">
        <v>1</v>
      </c>
    </row>
    <row r="72" spans="1:9">
      <c r="A72" t="s">
        <v>186</v>
      </c>
      <c r="B72" s="139">
        <v>7999</v>
      </c>
      <c r="C72" s="103">
        <v>0.25</v>
      </c>
      <c r="D72" s="103">
        <v>0.5</v>
      </c>
      <c r="E72" s="103">
        <v>0.75</v>
      </c>
      <c r="F72" s="103">
        <v>0</v>
      </c>
      <c r="G72" s="103">
        <v>0</v>
      </c>
      <c r="H72" s="103">
        <v>0</v>
      </c>
      <c r="I72" s="118">
        <v>2</v>
      </c>
    </row>
    <row r="73" spans="1:9">
      <c r="A73" t="s">
        <v>187</v>
      </c>
      <c r="B73" s="139">
        <v>604974</v>
      </c>
      <c r="C73" s="103">
        <v>0.25</v>
      </c>
      <c r="D73" s="103">
        <v>0</v>
      </c>
      <c r="E73" s="103">
        <v>0.75</v>
      </c>
      <c r="F73" s="103">
        <v>0</v>
      </c>
      <c r="G73" s="103">
        <v>0.5</v>
      </c>
      <c r="H73" s="103">
        <v>0</v>
      </c>
      <c r="I73" s="118">
        <v>2</v>
      </c>
    </row>
    <row r="74" spans="1:9">
      <c r="A74" t="s">
        <v>188</v>
      </c>
      <c r="B74" s="139">
        <v>73428</v>
      </c>
      <c r="C74" s="103">
        <v>0</v>
      </c>
      <c r="D74" s="103">
        <v>0</v>
      </c>
      <c r="E74" s="103">
        <v>0</v>
      </c>
      <c r="F74" s="103">
        <v>0</v>
      </c>
      <c r="G74" s="103">
        <v>0</v>
      </c>
      <c r="H74" s="103">
        <v>0</v>
      </c>
      <c r="I74" s="103">
        <v>0</v>
      </c>
    </row>
    <row r="75" spans="1:9">
      <c r="A75" t="s">
        <v>189</v>
      </c>
      <c r="B75" s="139">
        <v>51059</v>
      </c>
      <c r="C75" s="103">
        <v>0</v>
      </c>
      <c r="D75" s="103">
        <v>0</v>
      </c>
      <c r="E75" s="103">
        <v>0</v>
      </c>
      <c r="F75" s="103">
        <v>0</v>
      </c>
      <c r="G75" s="103">
        <v>0.5</v>
      </c>
      <c r="H75" s="103">
        <v>0</v>
      </c>
      <c r="I75" s="119">
        <v>1</v>
      </c>
    </row>
    <row r="76" spans="1:9">
      <c r="A76" t="s">
        <v>190</v>
      </c>
      <c r="B76" s="139">
        <v>11611</v>
      </c>
      <c r="C76" s="103">
        <v>0.25</v>
      </c>
      <c r="D76" s="103">
        <v>0</v>
      </c>
      <c r="E76" s="103">
        <v>0.75</v>
      </c>
      <c r="F76" s="103">
        <v>0</v>
      </c>
      <c r="G76" s="103">
        <v>0</v>
      </c>
      <c r="H76" s="103">
        <v>0</v>
      </c>
      <c r="I76" s="119">
        <v>1</v>
      </c>
    </row>
    <row r="77" spans="1:9">
      <c r="A77" t="s">
        <v>191</v>
      </c>
      <c r="B77" s="139">
        <v>8902</v>
      </c>
      <c r="C77" s="103">
        <v>0</v>
      </c>
      <c r="D77" s="103">
        <v>0</v>
      </c>
      <c r="E77" s="103">
        <v>0.75</v>
      </c>
      <c r="F77" s="103">
        <v>0</v>
      </c>
      <c r="G77" s="103">
        <v>0</v>
      </c>
      <c r="H77" s="103">
        <v>0</v>
      </c>
      <c r="I77" s="119">
        <v>1</v>
      </c>
    </row>
    <row r="78" spans="1:9">
      <c r="A78" t="s">
        <v>192</v>
      </c>
      <c r="B78" s="139">
        <v>19995</v>
      </c>
      <c r="C78" s="103">
        <v>0</v>
      </c>
      <c r="D78" s="103">
        <v>0</v>
      </c>
      <c r="E78" s="103">
        <v>0.75</v>
      </c>
      <c r="F78" s="103">
        <v>0</v>
      </c>
      <c r="G78" s="103">
        <v>0.5</v>
      </c>
      <c r="H78" s="103">
        <v>0</v>
      </c>
      <c r="I78" s="118">
        <v>2</v>
      </c>
    </row>
    <row r="79" spans="1:9">
      <c r="A79" t="s">
        <v>258</v>
      </c>
      <c r="B79" s="139">
        <v>34927</v>
      </c>
      <c r="C79" s="137">
        <v>0.25</v>
      </c>
      <c r="D79" s="103">
        <v>0</v>
      </c>
      <c r="E79" s="103">
        <v>0</v>
      </c>
      <c r="F79" s="103">
        <v>1</v>
      </c>
      <c r="G79" s="103">
        <v>0.5</v>
      </c>
      <c r="H79" s="103">
        <v>0</v>
      </c>
      <c r="I79" s="118">
        <v>2</v>
      </c>
    </row>
    <row r="80" spans="1:9">
      <c r="A80" t="s">
        <v>194</v>
      </c>
      <c r="B80" s="139">
        <v>107</v>
      </c>
      <c r="C80" s="137">
        <v>0.25</v>
      </c>
      <c r="D80" s="103">
        <v>0</v>
      </c>
      <c r="E80" s="103">
        <v>0</v>
      </c>
      <c r="F80" s="103">
        <v>1</v>
      </c>
      <c r="G80" s="103">
        <v>0.5</v>
      </c>
      <c r="H80" s="103">
        <v>0</v>
      </c>
      <c r="I80" s="118">
        <v>2</v>
      </c>
    </row>
    <row r="81" spans="1:9">
      <c r="A81" s="121" t="s">
        <v>195</v>
      </c>
      <c r="B81" s="139">
        <v>3708</v>
      </c>
      <c r="C81" s="137">
        <v>0.25</v>
      </c>
      <c r="D81" s="103">
        <v>0</v>
      </c>
      <c r="E81" s="103">
        <v>0</v>
      </c>
      <c r="F81" s="103">
        <v>1</v>
      </c>
      <c r="G81" s="103">
        <v>0.5</v>
      </c>
      <c r="H81" s="103">
        <v>0</v>
      </c>
      <c r="I81" s="118">
        <v>2</v>
      </c>
    </row>
    <row r="82" spans="1:9">
      <c r="A82" s="121" t="s">
        <v>196</v>
      </c>
      <c r="B82" s="139">
        <v>3585</v>
      </c>
      <c r="C82" s="137">
        <v>0.25</v>
      </c>
      <c r="D82" s="103">
        <v>0</v>
      </c>
      <c r="E82" s="103">
        <v>0</v>
      </c>
      <c r="F82" s="103">
        <v>1</v>
      </c>
      <c r="G82" s="103">
        <v>0.5</v>
      </c>
      <c r="H82" s="103">
        <v>0</v>
      </c>
      <c r="I82" s="118">
        <v>2</v>
      </c>
    </row>
    <row r="83" spans="1:9">
      <c r="A83" s="121" t="s">
        <v>197</v>
      </c>
      <c r="B83" s="139">
        <v>156</v>
      </c>
      <c r="C83" s="111">
        <v>0.5</v>
      </c>
      <c r="D83" s="103">
        <v>0</v>
      </c>
      <c r="E83" s="103">
        <v>0</v>
      </c>
      <c r="F83" s="103">
        <v>1</v>
      </c>
      <c r="G83" s="103">
        <v>0.5</v>
      </c>
      <c r="H83" s="103">
        <v>0</v>
      </c>
      <c r="I83" s="117">
        <v>3</v>
      </c>
    </row>
    <row r="84" spans="1:9">
      <c r="A84" s="121" t="s">
        <v>198</v>
      </c>
      <c r="B84" s="139">
        <v>952</v>
      </c>
      <c r="C84" s="137">
        <v>0.25</v>
      </c>
      <c r="D84" s="103">
        <v>0</v>
      </c>
      <c r="E84" s="103">
        <v>0</v>
      </c>
      <c r="F84" s="103">
        <v>1</v>
      </c>
      <c r="G84" s="103">
        <v>0.5</v>
      </c>
      <c r="H84" s="103">
        <v>0</v>
      </c>
      <c r="I84" s="118">
        <v>2</v>
      </c>
    </row>
    <row r="85" spans="1:9">
      <c r="A85" s="121" t="s">
        <v>199</v>
      </c>
      <c r="B85" s="139">
        <v>3501</v>
      </c>
      <c r="C85" s="137">
        <v>0.25</v>
      </c>
      <c r="D85" s="103">
        <v>0</v>
      </c>
      <c r="E85" s="103">
        <v>0</v>
      </c>
      <c r="F85" s="103">
        <v>1</v>
      </c>
      <c r="G85" s="103">
        <v>0.5</v>
      </c>
      <c r="H85" s="103">
        <v>0</v>
      </c>
      <c r="I85" s="118">
        <v>2</v>
      </c>
    </row>
    <row r="86" spans="1:9">
      <c r="A86" s="121" t="s">
        <v>200</v>
      </c>
      <c r="B86" s="139">
        <v>978</v>
      </c>
      <c r="C86" s="111">
        <v>0.5</v>
      </c>
      <c r="D86" s="103">
        <v>0</v>
      </c>
      <c r="E86" s="103">
        <v>0</v>
      </c>
      <c r="F86" s="103">
        <v>1</v>
      </c>
      <c r="G86" s="103">
        <v>0.5</v>
      </c>
      <c r="H86" s="103">
        <v>0</v>
      </c>
      <c r="I86" s="117">
        <v>3</v>
      </c>
    </row>
    <row r="87" spans="1:9">
      <c r="A87" s="121" t="s">
        <v>201</v>
      </c>
      <c r="B87" s="139">
        <v>232</v>
      </c>
      <c r="C87" s="111">
        <v>0.5</v>
      </c>
      <c r="D87" s="103">
        <v>0</v>
      </c>
      <c r="E87" s="103">
        <v>0</v>
      </c>
      <c r="F87" s="103">
        <v>1</v>
      </c>
      <c r="G87" s="103">
        <v>0.5</v>
      </c>
      <c r="H87" s="103">
        <v>0</v>
      </c>
      <c r="I87" s="117">
        <v>3</v>
      </c>
    </row>
    <row r="88" spans="1:9">
      <c r="A88" s="121" t="s">
        <v>202</v>
      </c>
      <c r="B88" s="139">
        <v>20617</v>
      </c>
      <c r="C88" s="137">
        <v>0.25</v>
      </c>
      <c r="D88" s="103">
        <v>0</v>
      </c>
      <c r="E88" s="103">
        <v>0.25</v>
      </c>
      <c r="F88" s="103">
        <v>0</v>
      </c>
      <c r="G88" s="103">
        <v>1</v>
      </c>
      <c r="H88" s="103">
        <v>0</v>
      </c>
      <c r="I88" s="103">
        <v>1</v>
      </c>
    </row>
    <row r="89" spans="1:9">
      <c r="A89" s="121" t="s">
        <v>203</v>
      </c>
      <c r="B89" s="139">
        <v>2178</v>
      </c>
      <c r="C89" s="137">
        <v>0.25</v>
      </c>
      <c r="D89" s="103">
        <v>0</v>
      </c>
      <c r="E89" s="103">
        <v>0.25</v>
      </c>
      <c r="F89" s="103">
        <v>0</v>
      </c>
      <c r="G89" s="103">
        <v>1</v>
      </c>
      <c r="H89" s="103">
        <v>0</v>
      </c>
      <c r="I89" s="103">
        <v>1</v>
      </c>
    </row>
    <row r="90" spans="1:9">
      <c r="A90" s="121" t="s">
        <v>204</v>
      </c>
      <c r="B90" s="139">
        <v>19800</v>
      </c>
      <c r="C90" s="137">
        <v>0.25</v>
      </c>
      <c r="D90" s="103">
        <v>0</v>
      </c>
      <c r="E90" s="103">
        <v>0.25</v>
      </c>
      <c r="F90" s="103">
        <v>0</v>
      </c>
      <c r="G90" s="103">
        <v>1</v>
      </c>
      <c r="H90" s="103">
        <v>0</v>
      </c>
      <c r="I90" s="103">
        <v>1</v>
      </c>
    </row>
    <row r="91" spans="1:9">
      <c r="A91" t="s">
        <v>205</v>
      </c>
      <c r="B91" s="139">
        <v>25851</v>
      </c>
      <c r="C91" s="137">
        <v>0.25</v>
      </c>
      <c r="D91" s="103">
        <v>0</v>
      </c>
      <c r="E91" s="103">
        <v>0.25</v>
      </c>
      <c r="F91" s="103">
        <v>0</v>
      </c>
      <c r="G91" s="103">
        <v>1</v>
      </c>
      <c r="H91" s="103">
        <v>0</v>
      </c>
      <c r="I91" s="103">
        <v>1</v>
      </c>
    </row>
    <row r="92" spans="1:9">
      <c r="A92" t="s">
        <v>206</v>
      </c>
      <c r="B92" s="139">
        <v>43933</v>
      </c>
      <c r="C92" s="137">
        <v>0.25</v>
      </c>
      <c r="D92" s="103">
        <v>0</v>
      </c>
      <c r="E92" s="103">
        <v>0.25</v>
      </c>
      <c r="F92" s="103">
        <v>0</v>
      </c>
      <c r="G92" s="103">
        <v>1</v>
      </c>
      <c r="H92" s="103">
        <v>0</v>
      </c>
      <c r="I92" s="103">
        <v>1</v>
      </c>
    </row>
    <row r="93" spans="1:9">
      <c r="A93" t="s">
        <v>207</v>
      </c>
      <c r="B93" s="139">
        <v>20810</v>
      </c>
      <c r="C93" s="137">
        <v>0.25</v>
      </c>
      <c r="D93" s="103">
        <v>0</v>
      </c>
      <c r="E93" s="103">
        <v>0.25</v>
      </c>
      <c r="F93" s="103">
        <v>0</v>
      </c>
      <c r="G93" s="103">
        <v>1</v>
      </c>
      <c r="H93" s="103">
        <v>0</v>
      </c>
      <c r="I93" s="103">
        <v>1</v>
      </c>
    </row>
    <row r="94" spans="1:9">
      <c r="A94" t="s">
        <v>208</v>
      </c>
      <c r="B94" s="139">
        <v>11579</v>
      </c>
      <c r="C94" s="137">
        <v>0.25</v>
      </c>
      <c r="D94" s="103">
        <v>0</v>
      </c>
      <c r="E94" s="103">
        <v>0.25</v>
      </c>
      <c r="F94" s="103">
        <v>0</v>
      </c>
      <c r="G94" s="103">
        <v>1</v>
      </c>
      <c r="H94" s="103">
        <v>0</v>
      </c>
      <c r="I94" s="103">
        <v>1</v>
      </c>
    </row>
    <row r="95" spans="1:9">
      <c r="A95" t="s">
        <v>209</v>
      </c>
      <c r="B95" s="139">
        <v>39872</v>
      </c>
      <c r="C95" s="137">
        <v>0.25</v>
      </c>
      <c r="D95" s="103">
        <v>0</v>
      </c>
      <c r="E95" s="103">
        <v>0.25</v>
      </c>
      <c r="F95" s="103">
        <v>0</v>
      </c>
      <c r="G95" s="103">
        <v>1</v>
      </c>
      <c r="H95" s="103">
        <v>0</v>
      </c>
      <c r="I95" s="103">
        <v>1</v>
      </c>
    </row>
    <row r="96" spans="1:9">
      <c r="A96" t="s">
        <v>210</v>
      </c>
      <c r="B96" s="139">
        <v>10378</v>
      </c>
      <c r="C96" s="137">
        <v>0.25</v>
      </c>
      <c r="D96" s="103">
        <v>0</v>
      </c>
      <c r="E96" s="103">
        <v>0.25</v>
      </c>
      <c r="F96" s="103">
        <v>0</v>
      </c>
      <c r="G96" s="103">
        <v>1</v>
      </c>
      <c r="H96" s="103">
        <v>0</v>
      </c>
      <c r="I96" s="103">
        <v>1</v>
      </c>
    </row>
    <row r="97" spans="1:9">
      <c r="A97" s="121" t="s">
        <v>211</v>
      </c>
      <c r="B97" s="139">
        <v>5910</v>
      </c>
      <c r="C97" s="137">
        <v>0.25</v>
      </c>
      <c r="D97" s="103">
        <v>0</v>
      </c>
      <c r="E97" s="103">
        <v>0.25</v>
      </c>
      <c r="F97" s="103">
        <v>0</v>
      </c>
      <c r="G97" s="103">
        <v>1</v>
      </c>
      <c r="H97" s="103">
        <v>0</v>
      </c>
      <c r="I97" s="103">
        <v>1</v>
      </c>
    </row>
    <row r="98" spans="1:9">
      <c r="A98" s="121" t="s">
        <v>212</v>
      </c>
      <c r="B98" s="139">
        <v>4189</v>
      </c>
      <c r="C98" s="137">
        <v>0.25</v>
      </c>
      <c r="D98" s="103">
        <v>0</v>
      </c>
      <c r="E98" s="103">
        <v>0.25</v>
      </c>
      <c r="F98" s="103">
        <v>0</v>
      </c>
      <c r="G98" s="103">
        <v>1</v>
      </c>
      <c r="H98" s="103">
        <v>0</v>
      </c>
      <c r="I98" s="103">
        <v>1</v>
      </c>
    </row>
    <row r="99" spans="1:9">
      <c r="A99" s="121" t="s">
        <v>213</v>
      </c>
      <c r="B99" s="139">
        <v>417</v>
      </c>
      <c r="C99" s="103">
        <v>0.5</v>
      </c>
      <c r="D99" s="103">
        <v>0</v>
      </c>
      <c r="E99" s="103">
        <v>0.25</v>
      </c>
      <c r="F99" s="103">
        <v>0</v>
      </c>
      <c r="G99" s="103">
        <v>1</v>
      </c>
      <c r="H99" s="103">
        <v>0</v>
      </c>
      <c r="I99" s="118">
        <v>2</v>
      </c>
    </row>
    <row r="100" spans="1:9">
      <c r="A100" s="121" t="s">
        <v>214</v>
      </c>
      <c r="B100" s="139">
        <v>6518</v>
      </c>
      <c r="C100" s="103">
        <v>0.5</v>
      </c>
      <c r="D100" s="103">
        <v>0</v>
      </c>
      <c r="E100" s="103">
        <v>0.25</v>
      </c>
      <c r="F100" s="103">
        <v>0</v>
      </c>
      <c r="G100" s="103">
        <v>1</v>
      </c>
      <c r="H100" s="103">
        <v>0</v>
      </c>
      <c r="I100" s="118">
        <v>2</v>
      </c>
    </row>
    <row r="101" spans="1:9">
      <c r="A101" s="121" t="s">
        <v>215</v>
      </c>
      <c r="B101" s="139">
        <v>3858</v>
      </c>
      <c r="C101" s="137">
        <v>0.25</v>
      </c>
      <c r="D101" s="103">
        <v>0</v>
      </c>
      <c r="E101" s="103">
        <v>0.25</v>
      </c>
      <c r="F101" s="103">
        <v>0</v>
      </c>
      <c r="G101" s="103">
        <v>1</v>
      </c>
      <c r="H101" s="103">
        <v>0</v>
      </c>
      <c r="I101" s="103">
        <v>1</v>
      </c>
    </row>
    <row r="102" spans="1:9">
      <c r="A102" s="121" t="s">
        <v>216</v>
      </c>
      <c r="B102" s="139">
        <v>4315</v>
      </c>
      <c r="C102" s="137">
        <v>0.25</v>
      </c>
      <c r="D102" s="103">
        <v>0</v>
      </c>
      <c r="E102" s="103">
        <v>0.25</v>
      </c>
      <c r="F102" s="103">
        <v>0</v>
      </c>
      <c r="G102" s="103">
        <v>1</v>
      </c>
      <c r="H102" s="103">
        <v>0</v>
      </c>
      <c r="I102" s="103">
        <v>1</v>
      </c>
    </row>
    <row r="103" spans="1:9">
      <c r="A103" s="121" t="s">
        <v>217</v>
      </c>
      <c r="B103" s="139">
        <v>1664</v>
      </c>
      <c r="C103" s="103">
        <v>0.5</v>
      </c>
      <c r="D103" s="103">
        <v>0</v>
      </c>
      <c r="E103" s="103">
        <v>0.25</v>
      </c>
      <c r="F103" s="103">
        <v>0</v>
      </c>
      <c r="G103" s="103">
        <v>1</v>
      </c>
      <c r="H103" s="103">
        <v>0</v>
      </c>
      <c r="I103" s="118">
        <v>2</v>
      </c>
    </row>
    <row r="104" spans="1:9">
      <c r="A104" s="121" t="s">
        <v>218</v>
      </c>
      <c r="B104" s="139">
        <v>5210</v>
      </c>
      <c r="C104" s="103">
        <v>0.5</v>
      </c>
      <c r="D104" s="103">
        <v>0</v>
      </c>
      <c r="E104" s="103">
        <v>0.25</v>
      </c>
      <c r="F104" s="103">
        <v>0</v>
      </c>
      <c r="G104" s="103">
        <v>1</v>
      </c>
      <c r="H104" s="103">
        <v>0</v>
      </c>
      <c r="I104" s="118">
        <v>2</v>
      </c>
    </row>
    <row r="105" spans="1:9">
      <c r="A105" s="121" t="s">
        <v>219</v>
      </c>
      <c r="B105" s="139">
        <v>13581</v>
      </c>
      <c r="C105" s="103">
        <v>0.5</v>
      </c>
      <c r="D105" s="103">
        <v>0</v>
      </c>
      <c r="E105" s="103">
        <v>0.25</v>
      </c>
      <c r="F105" s="103">
        <v>0</v>
      </c>
      <c r="G105" s="103">
        <v>1</v>
      </c>
      <c r="H105" s="103">
        <v>0</v>
      </c>
      <c r="I105" s="118">
        <v>2</v>
      </c>
    </row>
    <row r="106" spans="1:9">
      <c r="A106" s="121" t="s">
        <v>220</v>
      </c>
      <c r="B106" s="139">
        <v>26561</v>
      </c>
      <c r="C106" s="103">
        <v>0.5</v>
      </c>
      <c r="D106" s="103">
        <v>0</v>
      </c>
      <c r="E106" s="103">
        <v>0.25</v>
      </c>
      <c r="F106" s="103">
        <v>0</v>
      </c>
      <c r="G106" s="103">
        <v>1</v>
      </c>
      <c r="H106" s="103">
        <v>0</v>
      </c>
      <c r="I106" s="118">
        <v>2</v>
      </c>
    </row>
    <row r="107" spans="1:9">
      <c r="A107" s="121" t="s">
        <v>221</v>
      </c>
      <c r="B107" s="139">
        <v>15350</v>
      </c>
      <c r="C107" s="103">
        <v>0.5</v>
      </c>
      <c r="D107" s="103">
        <v>0</v>
      </c>
      <c r="E107" s="103">
        <v>0.25</v>
      </c>
      <c r="F107" s="103">
        <v>0</v>
      </c>
      <c r="G107" s="103">
        <v>1</v>
      </c>
      <c r="H107" s="103">
        <v>0</v>
      </c>
      <c r="I107" s="118">
        <v>2</v>
      </c>
    </row>
    <row r="108" spans="1:9">
      <c r="A108" s="121" t="s">
        <v>222</v>
      </c>
      <c r="B108" s="139">
        <v>20594</v>
      </c>
      <c r="C108" s="103">
        <v>0.5</v>
      </c>
      <c r="D108" s="103">
        <v>0</v>
      </c>
      <c r="E108" s="103">
        <v>0.25</v>
      </c>
      <c r="F108" s="103">
        <v>0</v>
      </c>
      <c r="G108" s="103">
        <v>1</v>
      </c>
      <c r="H108" s="103">
        <v>0</v>
      </c>
      <c r="I108" s="118">
        <v>2</v>
      </c>
    </row>
    <row r="109" spans="1:9">
      <c r="A109" s="121" t="s">
        <v>223</v>
      </c>
      <c r="B109" s="139">
        <v>32666</v>
      </c>
      <c r="C109" s="137">
        <v>0.25</v>
      </c>
      <c r="D109" s="103">
        <v>0</v>
      </c>
      <c r="E109" s="103">
        <v>0.25</v>
      </c>
      <c r="F109" s="103">
        <v>0</v>
      </c>
      <c r="G109" s="103">
        <v>1</v>
      </c>
      <c r="H109" s="103">
        <v>0</v>
      </c>
      <c r="I109" s="103">
        <v>1</v>
      </c>
    </row>
    <row r="110" spans="1:9">
      <c r="A110" s="121" t="s">
        <v>224</v>
      </c>
      <c r="B110" s="139">
        <v>11781</v>
      </c>
      <c r="C110" s="103">
        <v>0.5</v>
      </c>
      <c r="D110" s="103">
        <v>0</v>
      </c>
      <c r="E110" s="103">
        <v>0.25</v>
      </c>
      <c r="F110" s="103">
        <v>0</v>
      </c>
      <c r="G110" s="103">
        <v>1</v>
      </c>
      <c r="H110" s="103">
        <v>0</v>
      </c>
      <c r="I110" s="118">
        <v>2</v>
      </c>
    </row>
    <row r="111" spans="1:9">
      <c r="A111" s="121" t="s">
        <v>225</v>
      </c>
      <c r="B111" s="139">
        <v>30943</v>
      </c>
      <c r="C111" s="137">
        <v>0.25</v>
      </c>
      <c r="D111" s="103">
        <v>0</v>
      </c>
      <c r="E111" s="103">
        <v>0.25</v>
      </c>
      <c r="F111" s="103">
        <v>0</v>
      </c>
      <c r="G111" s="103">
        <v>1</v>
      </c>
      <c r="H111" s="103">
        <v>0</v>
      </c>
      <c r="I111" s="103">
        <v>1</v>
      </c>
    </row>
    <row r="112" spans="1:9">
      <c r="A112" s="121" t="s">
        <v>226</v>
      </c>
      <c r="B112" s="139">
        <v>17422</v>
      </c>
      <c r="C112" s="103">
        <v>0.5</v>
      </c>
      <c r="D112" s="103">
        <v>0</v>
      </c>
      <c r="E112" s="103">
        <v>0.25</v>
      </c>
      <c r="F112" s="103">
        <v>0</v>
      </c>
      <c r="G112" s="103">
        <v>1</v>
      </c>
      <c r="H112" s="103">
        <v>0</v>
      </c>
      <c r="I112" s="118">
        <v>2</v>
      </c>
    </row>
    <row r="113" spans="1:9">
      <c r="A113" s="121" t="s">
        <v>227</v>
      </c>
      <c r="B113" s="139">
        <v>20541</v>
      </c>
      <c r="C113" s="137">
        <v>0.25</v>
      </c>
      <c r="D113" s="103">
        <v>0</v>
      </c>
      <c r="E113" s="103">
        <v>0.25</v>
      </c>
      <c r="F113" s="103">
        <v>0</v>
      </c>
      <c r="G113" s="103">
        <v>1</v>
      </c>
      <c r="H113" s="103">
        <v>0</v>
      </c>
      <c r="I113" s="103">
        <v>1</v>
      </c>
    </row>
    <row r="114" spans="1:9">
      <c r="A114" s="121" t="s">
        <v>228</v>
      </c>
      <c r="B114" s="139">
        <v>9241</v>
      </c>
      <c r="C114" s="137">
        <v>0.25</v>
      </c>
      <c r="D114" s="103">
        <v>0</v>
      </c>
      <c r="E114" s="103">
        <v>0.25</v>
      </c>
      <c r="F114" s="103">
        <v>0</v>
      </c>
      <c r="G114" s="103">
        <v>1</v>
      </c>
      <c r="H114" s="103">
        <v>0</v>
      </c>
      <c r="I114" s="103">
        <v>1</v>
      </c>
    </row>
    <row r="115" spans="1:9">
      <c r="A115" s="121" t="s">
        <v>229</v>
      </c>
      <c r="B115" s="139">
        <v>5191</v>
      </c>
      <c r="C115" s="103">
        <v>0.5</v>
      </c>
      <c r="D115" s="103">
        <v>0</v>
      </c>
      <c r="E115" s="103">
        <v>0.25</v>
      </c>
      <c r="F115" s="103">
        <v>0</v>
      </c>
      <c r="G115" s="103">
        <v>1</v>
      </c>
      <c r="H115" s="103">
        <v>0</v>
      </c>
      <c r="I115" s="118">
        <v>2</v>
      </c>
    </row>
    <row r="116" spans="1:9">
      <c r="A116" s="121" t="s">
        <v>230</v>
      </c>
      <c r="B116" s="139">
        <v>13571</v>
      </c>
      <c r="C116" s="137">
        <v>0.25</v>
      </c>
      <c r="D116" s="103">
        <v>0</v>
      </c>
      <c r="E116" s="103">
        <v>0.25</v>
      </c>
      <c r="F116" s="103">
        <v>0</v>
      </c>
      <c r="G116" s="103">
        <v>1</v>
      </c>
      <c r="H116" s="103">
        <v>0</v>
      </c>
      <c r="I116" s="103">
        <v>1</v>
      </c>
    </row>
    <row r="117" spans="1:9">
      <c r="A117" s="121" t="s">
        <v>231</v>
      </c>
      <c r="B117" s="139">
        <v>31347</v>
      </c>
      <c r="C117" s="103">
        <v>0.5</v>
      </c>
      <c r="D117" s="103">
        <v>0</v>
      </c>
      <c r="E117" s="103">
        <v>0.25</v>
      </c>
      <c r="F117" s="103">
        <v>0</v>
      </c>
      <c r="G117" s="103">
        <v>1</v>
      </c>
      <c r="H117" s="103">
        <v>0</v>
      </c>
      <c r="I117" s="103">
        <v>1</v>
      </c>
    </row>
    <row r="118" spans="1:9">
      <c r="A118" s="121" t="s">
        <v>232</v>
      </c>
      <c r="B118" s="139">
        <v>34824</v>
      </c>
      <c r="C118" s="137">
        <v>0.25</v>
      </c>
      <c r="D118" s="103">
        <v>0</v>
      </c>
      <c r="E118" s="103">
        <v>0.25</v>
      </c>
      <c r="F118" s="103">
        <v>0</v>
      </c>
      <c r="G118" s="103">
        <v>1</v>
      </c>
      <c r="H118" s="103">
        <v>0</v>
      </c>
      <c r="I118" s="103">
        <v>1</v>
      </c>
    </row>
    <row r="119" spans="1:9">
      <c r="A119" s="121" t="s">
        <v>233</v>
      </c>
      <c r="B119" s="139">
        <v>3053</v>
      </c>
      <c r="C119" s="137">
        <v>0.25</v>
      </c>
      <c r="D119" s="103">
        <v>0</v>
      </c>
      <c r="E119" s="103">
        <v>0.25</v>
      </c>
      <c r="F119" s="103">
        <v>0</v>
      </c>
      <c r="G119" s="103">
        <v>1</v>
      </c>
      <c r="H119" s="103">
        <v>0</v>
      </c>
      <c r="I119" s="103">
        <v>1</v>
      </c>
    </row>
    <row r="120" spans="1:9">
      <c r="A120" s="121" t="s">
        <v>234</v>
      </c>
      <c r="B120" s="139">
        <v>13164</v>
      </c>
      <c r="C120" s="137">
        <v>0.25</v>
      </c>
      <c r="D120" s="103">
        <v>0</v>
      </c>
      <c r="E120" s="103">
        <v>0.25</v>
      </c>
      <c r="F120" s="103">
        <v>0</v>
      </c>
      <c r="G120" s="103">
        <v>1</v>
      </c>
      <c r="H120" s="103">
        <v>0</v>
      </c>
      <c r="I120" s="103">
        <v>1</v>
      </c>
    </row>
    <row r="121" spans="1:9">
      <c r="A121" s="121" t="s">
        <v>235</v>
      </c>
      <c r="B121" s="139">
        <v>24077</v>
      </c>
      <c r="C121" s="103">
        <v>0.5</v>
      </c>
      <c r="D121" s="103">
        <v>0</v>
      </c>
      <c r="E121" s="103">
        <v>0.25</v>
      </c>
      <c r="F121" s="103">
        <v>0</v>
      </c>
      <c r="G121" s="103">
        <v>1</v>
      </c>
      <c r="H121" s="103">
        <v>0</v>
      </c>
      <c r="I121" s="118">
        <v>2</v>
      </c>
    </row>
    <row r="122" spans="1:9">
      <c r="A122" s="121" t="s">
        <v>236</v>
      </c>
      <c r="B122" s="139">
        <v>4200</v>
      </c>
      <c r="C122" s="137">
        <v>0.25</v>
      </c>
      <c r="D122" s="103">
        <v>0</v>
      </c>
      <c r="E122" s="103">
        <v>0.25</v>
      </c>
      <c r="F122" s="103">
        <v>0</v>
      </c>
      <c r="G122" s="103">
        <v>1</v>
      </c>
      <c r="H122" s="103">
        <v>0</v>
      </c>
      <c r="I122" s="103">
        <v>1</v>
      </c>
    </row>
    <row r="123" spans="1:9">
      <c r="A123" s="121" t="s">
        <v>237</v>
      </c>
      <c r="B123" s="139">
        <v>20126</v>
      </c>
      <c r="C123" s="103">
        <v>0.5</v>
      </c>
      <c r="D123" s="103">
        <v>0</v>
      </c>
      <c r="E123" s="103">
        <v>0.25</v>
      </c>
      <c r="F123" s="103">
        <v>0</v>
      </c>
      <c r="G123" s="103">
        <v>1</v>
      </c>
      <c r="H123" s="103">
        <v>0</v>
      </c>
      <c r="I123" s="118">
        <v>2</v>
      </c>
    </row>
    <row r="124" spans="1:9">
      <c r="A124" s="121" t="s">
        <v>238</v>
      </c>
      <c r="B124" s="139">
        <v>19439</v>
      </c>
      <c r="C124" s="137">
        <v>0.25</v>
      </c>
      <c r="D124" s="103">
        <v>0</v>
      </c>
      <c r="E124" s="103">
        <v>0.25</v>
      </c>
      <c r="F124" s="103">
        <v>0</v>
      </c>
      <c r="G124" s="103">
        <v>1</v>
      </c>
      <c r="H124" s="103">
        <v>0</v>
      </c>
      <c r="I124" s="103">
        <v>1</v>
      </c>
    </row>
    <row r="125" spans="1:9">
      <c r="A125" s="121" t="s">
        <v>239</v>
      </c>
      <c r="B125" s="139">
        <v>3145</v>
      </c>
      <c r="C125" s="137">
        <v>0.25</v>
      </c>
      <c r="D125" s="103">
        <v>0</v>
      </c>
      <c r="E125" s="103">
        <v>0.25</v>
      </c>
      <c r="F125" s="103">
        <v>0</v>
      </c>
      <c r="G125" s="103">
        <v>1</v>
      </c>
      <c r="H125" s="103">
        <v>0</v>
      </c>
      <c r="I125" s="103">
        <v>1</v>
      </c>
    </row>
    <row r="126" spans="1:9">
      <c r="A126" s="121" t="s">
        <v>240</v>
      </c>
      <c r="B126" s="139">
        <v>26432</v>
      </c>
      <c r="C126" s="137">
        <v>0.25</v>
      </c>
      <c r="D126" s="103">
        <v>0</v>
      </c>
      <c r="E126" s="103">
        <v>0.25</v>
      </c>
      <c r="F126" s="103">
        <v>0</v>
      </c>
      <c r="G126" s="103">
        <v>1</v>
      </c>
      <c r="H126" s="103">
        <v>0</v>
      </c>
      <c r="I126" s="103">
        <v>1</v>
      </c>
    </row>
    <row r="127" spans="1:9">
      <c r="A127" s="121" t="s">
        <v>241</v>
      </c>
      <c r="B127" s="139">
        <v>4312</v>
      </c>
      <c r="C127" s="137">
        <v>0.25</v>
      </c>
      <c r="D127" s="103">
        <v>0</v>
      </c>
      <c r="E127" s="103">
        <v>0.25</v>
      </c>
      <c r="F127" s="103">
        <v>0</v>
      </c>
      <c r="G127" s="103">
        <v>1</v>
      </c>
      <c r="H127" s="103">
        <v>0</v>
      </c>
      <c r="I127" s="103">
        <v>1</v>
      </c>
    </row>
    <row r="128" spans="1:9">
      <c r="A128" s="121" t="s">
        <v>242</v>
      </c>
      <c r="B128" s="139">
        <v>20529</v>
      </c>
      <c r="C128" s="137">
        <v>0.25</v>
      </c>
      <c r="D128" s="103">
        <v>0</v>
      </c>
      <c r="E128" s="103">
        <v>0.25</v>
      </c>
      <c r="F128" s="103">
        <v>0</v>
      </c>
      <c r="G128" s="103">
        <v>1</v>
      </c>
      <c r="H128" s="103">
        <v>0</v>
      </c>
      <c r="I128" s="103">
        <v>1</v>
      </c>
    </row>
    <row r="129" spans="1:9">
      <c r="A129" s="121" t="s">
        <v>243</v>
      </c>
      <c r="B129" s="139">
        <v>17253</v>
      </c>
      <c r="C129" s="103">
        <v>0.5</v>
      </c>
      <c r="D129" s="103">
        <v>0</v>
      </c>
      <c r="E129" s="103">
        <v>0.25</v>
      </c>
      <c r="F129" s="103">
        <v>0</v>
      </c>
      <c r="G129" s="103">
        <v>1</v>
      </c>
      <c r="H129" s="103">
        <v>0</v>
      </c>
      <c r="I129" s="118">
        <v>2</v>
      </c>
    </row>
    <row r="130" spans="1:9">
      <c r="A130" s="121" t="s">
        <v>244</v>
      </c>
      <c r="B130" s="139">
        <v>2727</v>
      </c>
      <c r="C130" s="137">
        <v>0.25</v>
      </c>
      <c r="D130" s="103">
        <v>0</v>
      </c>
      <c r="E130" s="103">
        <v>0.25</v>
      </c>
      <c r="F130" s="103">
        <v>0</v>
      </c>
      <c r="G130" s="103">
        <v>1</v>
      </c>
      <c r="H130" s="103">
        <v>0</v>
      </c>
      <c r="I130" s="103">
        <v>1</v>
      </c>
    </row>
    <row r="131" spans="1:9">
      <c r="A131" s="121" t="s">
        <v>245</v>
      </c>
      <c r="B131" s="139">
        <v>10707</v>
      </c>
      <c r="C131" s="137">
        <v>0.25</v>
      </c>
      <c r="D131" s="103">
        <v>0</v>
      </c>
      <c r="E131" s="103">
        <v>0.25</v>
      </c>
      <c r="F131" s="103">
        <v>0</v>
      </c>
      <c r="G131" s="103">
        <v>1</v>
      </c>
      <c r="H131" s="103">
        <v>0</v>
      </c>
      <c r="I131" s="103">
        <v>1</v>
      </c>
    </row>
    <row r="132" spans="1:9">
      <c r="A132" s="121" t="s">
        <v>246</v>
      </c>
      <c r="B132" s="139">
        <v>2859</v>
      </c>
      <c r="C132" s="137">
        <v>0.25</v>
      </c>
      <c r="D132" s="103">
        <v>0</v>
      </c>
      <c r="E132" s="103">
        <v>0.25</v>
      </c>
      <c r="F132" s="103">
        <v>0</v>
      </c>
      <c r="G132" s="103">
        <v>1</v>
      </c>
      <c r="H132" s="103">
        <v>0</v>
      </c>
      <c r="I132" s="103">
        <v>1</v>
      </c>
    </row>
    <row r="133" spans="1:9">
      <c r="A133" s="121" t="s">
        <v>247</v>
      </c>
      <c r="B133" s="139">
        <v>4643</v>
      </c>
      <c r="C133" s="103">
        <v>0.5</v>
      </c>
      <c r="D133" s="103">
        <v>0</v>
      </c>
      <c r="E133" s="103">
        <v>0.25</v>
      </c>
      <c r="F133" s="103">
        <v>0</v>
      </c>
      <c r="G133" s="103">
        <v>1</v>
      </c>
      <c r="H133" s="103">
        <v>0</v>
      </c>
      <c r="I133" s="118">
        <v>2</v>
      </c>
    </row>
    <row r="134" spans="1:9">
      <c r="A134" s="121" t="s">
        <v>248</v>
      </c>
      <c r="B134" s="139">
        <v>4609</v>
      </c>
      <c r="C134" s="137">
        <v>0.25</v>
      </c>
      <c r="D134" s="103">
        <v>0</v>
      </c>
      <c r="E134" s="103">
        <v>0.25</v>
      </c>
      <c r="F134" s="103">
        <v>0</v>
      </c>
      <c r="G134" s="103">
        <v>1</v>
      </c>
      <c r="H134" s="103">
        <v>0</v>
      </c>
      <c r="I134" s="103">
        <v>1</v>
      </c>
    </row>
    <row r="135" spans="1:9">
      <c r="A135" s="121" t="s">
        <v>249</v>
      </c>
      <c r="B135" s="139">
        <v>1446</v>
      </c>
      <c r="C135" s="137">
        <v>0.25</v>
      </c>
      <c r="D135" s="103">
        <v>0</v>
      </c>
      <c r="E135" s="103">
        <v>0.25</v>
      </c>
      <c r="F135" s="103">
        <v>0</v>
      </c>
      <c r="G135" s="103">
        <v>1</v>
      </c>
      <c r="H135" s="103">
        <v>0</v>
      </c>
      <c r="I135" s="103">
        <v>1</v>
      </c>
    </row>
    <row r="136" spans="1:9">
      <c r="A136" s="121" t="s">
        <v>250</v>
      </c>
      <c r="B136" s="139">
        <v>30350</v>
      </c>
      <c r="C136" s="137">
        <v>0.25</v>
      </c>
      <c r="D136" s="103">
        <v>0</v>
      </c>
      <c r="E136" s="103">
        <v>0.25</v>
      </c>
      <c r="F136" s="103">
        <v>0</v>
      </c>
      <c r="G136" s="103">
        <v>1</v>
      </c>
      <c r="H136" s="103">
        <v>0</v>
      </c>
      <c r="I136" s="103">
        <v>1</v>
      </c>
    </row>
    <row r="137" spans="1:9">
      <c r="A137" s="121" t="s">
        <v>251</v>
      </c>
      <c r="B137" s="139">
        <v>27758</v>
      </c>
      <c r="C137" s="137">
        <v>0.25</v>
      </c>
      <c r="D137" s="103">
        <v>0</v>
      </c>
      <c r="E137" s="103">
        <v>0.25</v>
      </c>
      <c r="F137" s="103">
        <v>0</v>
      </c>
      <c r="G137" s="103">
        <v>1</v>
      </c>
      <c r="H137" s="103">
        <v>0</v>
      </c>
      <c r="I137" s="103">
        <v>1</v>
      </c>
    </row>
    <row r="138" spans="1:9">
      <c r="A138" s="121" t="s">
        <v>252</v>
      </c>
      <c r="B138" s="139">
        <v>1782</v>
      </c>
      <c r="C138" s="137">
        <v>0.25</v>
      </c>
      <c r="D138" s="103">
        <v>0</v>
      </c>
      <c r="E138" s="103">
        <v>0.25</v>
      </c>
      <c r="F138" s="103">
        <v>0</v>
      </c>
      <c r="G138" s="103">
        <v>1</v>
      </c>
      <c r="H138" s="103">
        <v>0</v>
      </c>
      <c r="I138" s="103">
        <v>1</v>
      </c>
    </row>
    <row r="139" spans="1:9">
      <c r="A139" s="121" t="s">
        <v>253</v>
      </c>
      <c r="B139" s="139">
        <v>1299</v>
      </c>
      <c r="C139" s="137">
        <v>0.25</v>
      </c>
      <c r="D139" s="103">
        <v>0</v>
      </c>
      <c r="E139" s="103">
        <v>0.25</v>
      </c>
      <c r="F139" s="103">
        <v>0</v>
      </c>
      <c r="G139" s="103">
        <v>1</v>
      </c>
      <c r="H139" s="103">
        <v>0</v>
      </c>
      <c r="I139" s="103">
        <v>1</v>
      </c>
    </row>
    <row r="140" spans="1:9">
      <c r="A140" s="121" t="s">
        <v>254</v>
      </c>
      <c r="B140" s="139">
        <v>3082</v>
      </c>
      <c r="C140" s="137">
        <v>0.25</v>
      </c>
      <c r="D140" s="103">
        <v>0</v>
      </c>
      <c r="E140" s="103">
        <v>0.25</v>
      </c>
      <c r="F140" s="103">
        <v>0</v>
      </c>
      <c r="G140" s="103">
        <v>1</v>
      </c>
      <c r="H140" s="103">
        <v>0</v>
      </c>
      <c r="I140" s="103">
        <v>1</v>
      </c>
    </row>
    <row r="141" spans="1:9">
      <c r="B141" s="139"/>
      <c r="C141" s="103"/>
      <c r="D141" s="103"/>
      <c r="E141" s="103"/>
      <c r="F141" s="103"/>
      <c r="G141" s="103"/>
      <c r="H141" s="103"/>
      <c r="I141" s="103"/>
    </row>
    <row r="142" spans="1:9">
      <c r="B142" s="139"/>
      <c r="C142" s="103"/>
      <c r="D142" s="103"/>
      <c r="E142" s="103"/>
      <c r="F142" s="103"/>
      <c r="G142" s="103"/>
      <c r="H142" s="103"/>
      <c r="I142" s="103"/>
    </row>
    <row r="143" spans="1:9">
      <c r="B143" s="139"/>
      <c r="C143" s="103"/>
      <c r="D143" s="103"/>
      <c r="E143" s="103"/>
      <c r="F143" s="103"/>
      <c r="G143" s="103"/>
      <c r="H143" s="103"/>
      <c r="I143" s="103"/>
    </row>
    <row r="144" spans="1:9">
      <c r="B144" s="139"/>
      <c r="C144" s="103"/>
      <c r="D144" s="103"/>
      <c r="E144" s="103"/>
      <c r="F144" s="103"/>
      <c r="G144" s="103"/>
      <c r="H144" s="103"/>
      <c r="I144" s="103"/>
    </row>
    <row r="145" spans="1:9">
      <c r="B145" s="139"/>
      <c r="C145" s="103"/>
      <c r="D145" s="103"/>
      <c r="E145" s="103"/>
      <c r="F145" s="103"/>
      <c r="G145" s="103"/>
      <c r="H145" s="103"/>
      <c r="I145" s="103"/>
    </row>
    <row r="146" spans="1:9">
      <c r="A146" s="121"/>
      <c r="B146" s="140"/>
      <c r="C146" s="103"/>
      <c r="D146" s="103"/>
      <c r="E146" s="103"/>
      <c r="F146" s="103"/>
      <c r="G146" s="103"/>
      <c r="H146" s="103"/>
      <c r="I146" s="103"/>
    </row>
    <row r="147" spans="1:9">
      <c r="A147" s="121"/>
      <c r="B147" s="140"/>
      <c r="C147" s="103"/>
      <c r="D147" s="103"/>
      <c r="E147" s="103"/>
      <c r="F147" s="103"/>
      <c r="G147" s="103"/>
      <c r="H147" s="103"/>
      <c r="I147" s="103"/>
    </row>
    <row r="148" spans="1:9">
      <c r="A148" s="121"/>
      <c r="B148" s="140"/>
      <c r="C148" s="103"/>
      <c r="D148" s="103"/>
      <c r="E148" s="103"/>
      <c r="F148" s="103"/>
      <c r="G148" s="103"/>
      <c r="H148" s="103"/>
      <c r="I148" s="103"/>
    </row>
    <row r="149" spans="1:9">
      <c r="A149" s="121"/>
      <c r="B149" s="140"/>
      <c r="C149" s="103"/>
      <c r="D149" s="103"/>
      <c r="E149" s="103"/>
      <c r="F149" s="103"/>
      <c r="G149" s="103"/>
      <c r="H149" s="103"/>
      <c r="I149" s="103"/>
    </row>
    <row r="150" spans="1:9">
      <c r="A150" s="121"/>
      <c r="B150" s="140"/>
      <c r="C150" s="103"/>
      <c r="D150" s="103"/>
      <c r="E150" s="103"/>
      <c r="F150" s="103"/>
      <c r="G150" s="103"/>
      <c r="H150" s="103"/>
      <c r="I150" s="103"/>
    </row>
    <row r="151" spans="1:9">
      <c r="A151" s="121"/>
      <c r="B151" s="140"/>
      <c r="C151" s="103"/>
      <c r="D151" s="103"/>
      <c r="E151" s="103"/>
      <c r="F151" s="103"/>
      <c r="G151" s="103"/>
      <c r="H151" s="103"/>
      <c r="I151" s="103"/>
    </row>
    <row r="152" spans="1:9">
      <c r="A152" s="121"/>
      <c r="B152" s="140"/>
      <c r="C152" s="103"/>
      <c r="D152" s="103"/>
      <c r="E152" s="103"/>
      <c r="F152" s="103"/>
      <c r="G152" s="103"/>
      <c r="H152" s="103"/>
      <c r="I152" s="103"/>
    </row>
    <row r="153" spans="1:9">
      <c r="A153" s="121"/>
      <c r="B153" s="140"/>
      <c r="C153" s="103"/>
      <c r="D153" s="103"/>
      <c r="E153" s="103"/>
      <c r="F153" s="103"/>
      <c r="G153" s="103"/>
      <c r="H153" s="103"/>
      <c r="I153" s="103"/>
    </row>
    <row r="154" spans="1:9">
      <c r="A154" s="121"/>
      <c r="B154" s="140"/>
      <c r="C154" s="103"/>
      <c r="D154" s="103"/>
      <c r="E154" s="103"/>
      <c r="F154" s="103"/>
      <c r="G154" s="103"/>
      <c r="H154" s="103"/>
      <c r="I154" s="103"/>
    </row>
    <row r="155" spans="1:9">
      <c r="A155" s="121"/>
      <c r="B155" s="140"/>
      <c r="C155" s="103"/>
      <c r="D155" s="103"/>
      <c r="E155" s="103"/>
      <c r="F155" s="103"/>
      <c r="G155" s="103"/>
      <c r="H155" s="103"/>
      <c r="I155" s="103"/>
    </row>
    <row r="156" spans="1:9">
      <c r="A156" s="121"/>
      <c r="B156" s="140"/>
      <c r="C156" s="103"/>
      <c r="D156" s="103"/>
      <c r="E156" s="103"/>
      <c r="F156" s="103"/>
      <c r="G156" s="103"/>
      <c r="H156" s="103"/>
      <c r="I156" s="103"/>
    </row>
    <row r="157" spans="1:9" s="121" customFormat="1">
      <c r="B157" s="140"/>
      <c r="C157" s="123"/>
      <c r="D157" s="123"/>
      <c r="E157" s="123"/>
      <c r="F157" s="123"/>
      <c r="G157" s="123"/>
      <c r="H157" s="123"/>
      <c r="I157" s="123"/>
    </row>
    <row r="158" spans="1:9" s="121" customFormat="1">
      <c r="B158" s="140"/>
      <c r="C158" s="123"/>
      <c r="D158" s="123"/>
      <c r="E158" s="123"/>
      <c r="F158" s="123"/>
      <c r="G158" s="123"/>
      <c r="H158" s="123"/>
      <c r="I158" s="123"/>
    </row>
    <row r="159" spans="1:9">
      <c r="A159" s="121"/>
      <c r="B159" s="140"/>
      <c r="C159" s="103"/>
      <c r="D159" s="103"/>
      <c r="E159" s="103"/>
      <c r="F159" s="103"/>
      <c r="G159" s="103"/>
      <c r="H159" s="103"/>
      <c r="I159" s="103"/>
    </row>
    <row r="160" spans="1:9">
      <c r="A160" s="121"/>
      <c r="B160" s="140"/>
      <c r="C160" s="103"/>
      <c r="D160" s="103"/>
      <c r="E160" s="103"/>
      <c r="F160" s="103"/>
      <c r="G160" s="103"/>
      <c r="H160" s="103"/>
      <c r="I160" s="103"/>
    </row>
    <row r="161" spans="1:9" s="121" customFormat="1">
      <c r="B161" s="140"/>
      <c r="C161" s="123"/>
      <c r="D161" s="123"/>
      <c r="E161" s="123"/>
      <c r="F161" s="123"/>
      <c r="G161" s="123"/>
      <c r="H161" s="123"/>
      <c r="I161" s="123"/>
    </row>
    <row r="162" spans="1:9" s="121" customFormat="1">
      <c r="B162" s="140"/>
      <c r="C162" s="123"/>
      <c r="D162" s="123"/>
      <c r="E162" s="123"/>
      <c r="F162" s="123"/>
      <c r="G162" s="123"/>
      <c r="H162" s="123"/>
      <c r="I162" s="123"/>
    </row>
    <row r="163" spans="1:9" s="121" customFormat="1">
      <c r="B163" s="140"/>
      <c r="C163" s="123"/>
      <c r="D163" s="123"/>
      <c r="E163" s="123"/>
      <c r="F163" s="123"/>
      <c r="G163" s="123"/>
      <c r="H163" s="123"/>
      <c r="I163" s="123"/>
    </row>
    <row r="164" spans="1:9" s="121" customFormat="1">
      <c r="B164" s="140"/>
      <c r="C164" s="123"/>
      <c r="D164" s="123"/>
      <c r="E164" s="123"/>
      <c r="F164" s="123"/>
      <c r="G164" s="123"/>
      <c r="H164" s="123"/>
      <c r="I164" s="123"/>
    </row>
    <row r="165" spans="1:9" s="121" customFormat="1">
      <c r="B165" s="140"/>
      <c r="C165" s="123"/>
      <c r="D165" s="123"/>
      <c r="E165" s="123"/>
      <c r="F165" s="123"/>
      <c r="G165" s="123"/>
      <c r="H165" s="123"/>
      <c r="I165" s="123"/>
    </row>
    <row r="166" spans="1:9" s="121" customFormat="1">
      <c r="B166" s="140"/>
      <c r="C166" s="123"/>
      <c r="D166" s="123"/>
      <c r="E166" s="123"/>
      <c r="F166" s="123"/>
      <c r="G166" s="123"/>
      <c r="H166" s="123"/>
      <c r="I166" s="123"/>
    </row>
    <row r="167" spans="1:9">
      <c r="A167" s="121"/>
      <c r="B167" s="140"/>
      <c r="C167" s="103"/>
      <c r="D167" s="103"/>
      <c r="E167" s="103"/>
      <c r="F167" s="103"/>
      <c r="G167" s="103"/>
      <c r="H167" s="103"/>
      <c r="I167" s="103"/>
    </row>
    <row r="168" spans="1:9">
      <c r="A168" s="121"/>
      <c r="B168" s="140"/>
      <c r="C168" s="103"/>
      <c r="D168" s="103"/>
      <c r="E168" s="103"/>
      <c r="F168" s="103"/>
      <c r="G168" s="103"/>
      <c r="H168" s="103"/>
      <c r="I168" s="103"/>
    </row>
    <row r="169" spans="1:9">
      <c r="A169" s="121"/>
      <c r="B169" s="140"/>
      <c r="C169" s="103"/>
      <c r="D169" s="103"/>
      <c r="E169" s="103"/>
      <c r="F169" s="103"/>
      <c r="G169" s="103"/>
      <c r="H169" s="103"/>
      <c r="I169" s="103"/>
    </row>
    <row r="170" spans="1:9">
      <c r="A170" s="121"/>
      <c r="B170" s="140"/>
      <c r="C170" s="103"/>
      <c r="D170" s="103"/>
      <c r="E170" s="103"/>
      <c r="F170" s="103"/>
      <c r="G170" s="103"/>
      <c r="H170" s="103"/>
      <c r="I170" s="103"/>
    </row>
    <row r="171" spans="1:9">
      <c r="A171" s="121"/>
      <c r="B171" s="140"/>
      <c r="C171" s="103"/>
      <c r="D171" s="103"/>
      <c r="E171" s="103"/>
      <c r="F171" s="103"/>
      <c r="G171" s="103"/>
      <c r="H171" s="103"/>
      <c r="I171" s="103"/>
    </row>
    <row r="172" spans="1:9">
      <c r="A172" s="121"/>
      <c r="B172" s="140"/>
      <c r="C172" s="103"/>
      <c r="D172" s="103"/>
      <c r="E172" s="103"/>
      <c r="F172" s="103"/>
      <c r="G172" s="103"/>
      <c r="H172" s="103"/>
      <c r="I172" s="103"/>
    </row>
    <row r="173" spans="1:9">
      <c r="A173" s="121"/>
      <c r="B173" s="140"/>
      <c r="C173" s="103"/>
      <c r="D173" s="103"/>
      <c r="E173" s="103"/>
      <c r="F173" s="103"/>
      <c r="G173" s="103"/>
      <c r="H173" s="103"/>
      <c r="I173" s="103"/>
    </row>
    <row r="174" spans="1:9">
      <c r="A174" s="121"/>
      <c r="B174" s="140"/>
      <c r="C174" s="103"/>
      <c r="D174" s="103"/>
      <c r="E174" s="103"/>
      <c r="F174" s="103"/>
      <c r="G174" s="103"/>
      <c r="H174" s="103"/>
      <c r="I174" s="103"/>
    </row>
    <row r="175" spans="1:9">
      <c r="A175" s="121"/>
      <c r="B175" s="140"/>
      <c r="C175" s="103"/>
      <c r="D175" s="103"/>
      <c r="E175" s="103"/>
      <c r="F175" s="103"/>
      <c r="G175" s="103"/>
      <c r="H175" s="103"/>
      <c r="I175" s="103"/>
    </row>
    <row r="176" spans="1:9">
      <c r="A176" s="121"/>
      <c r="B176" s="140"/>
      <c r="C176" s="103"/>
      <c r="D176" s="103"/>
      <c r="E176" s="103"/>
      <c r="F176" s="103"/>
      <c r="G176" s="103"/>
      <c r="H176" s="103"/>
      <c r="I176" s="103"/>
    </row>
    <row r="177" spans="1:9">
      <c r="A177" s="121"/>
      <c r="B177" s="140"/>
      <c r="C177" s="103"/>
      <c r="D177" s="103"/>
      <c r="E177" s="103"/>
      <c r="F177" s="103"/>
      <c r="G177" s="103"/>
      <c r="H177" s="103"/>
      <c r="I177" s="103"/>
    </row>
    <row r="178" spans="1:9">
      <c r="A178" s="121"/>
      <c r="B178" s="140"/>
      <c r="C178" s="103"/>
      <c r="D178" s="103"/>
      <c r="E178" s="103"/>
      <c r="F178" s="103"/>
      <c r="G178" s="103"/>
      <c r="H178" s="103"/>
      <c r="I178" s="103"/>
    </row>
    <row r="179" spans="1:9">
      <c r="A179" s="121"/>
      <c r="B179" s="140"/>
      <c r="C179" s="103"/>
      <c r="D179" s="103"/>
      <c r="E179" s="103"/>
      <c r="F179" s="103"/>
      <c r="G179" s="103"/>
      <c r="H179" s="103"/>
      <c r="I179" s="103"/>
    </row>
    <row r="180" spans="1:9">
      <c r="A180" s="121"/>
      <c r="B180" s="140"/>
      <c r="C180" s="103"/>
      <c r="D180" s="103"/>
      <c r="E180" s="103"/>
      <c r="F180" s="103"/>
      <c r="G180" s="103"/>
      <c r="H180" s="103"/>
      <c r="I180" s="103"/>
    </row>
    <row r="181" spans="1:9">
      <c r="A181" s="121"/>
      <c r="B181" s="140"/>
      <c r="C181" s="103"/>
      <c r="D181" s="103"/>
      <c r="E181" s="103"/>
      <c r="F181" s="103"/>
      <c r="G181" s="103"/>
      <c r="H181" s="103"/>
      <c r="I181" s="103"/>
    </row>
    <row r="182" spans="1:9">
      <c r="A182" s="121"/>
      <c r="B182" s="140"/>
      <c r="C182" s="103"/>
      <c r="D182" s="103"/>
      <c r="E182" s="103"/>
      <c r="F182" s="103"/>
      <c r="G182" s="103"/>
      <c r="H182" s="103"/>
      <c r="I182" s="103"/>
    </row>
    <row r="183" spans="1:9">
      <c r="A183" s="121"/>
      <c r="B183" s="140"/>
      <c r="C183" s="103"/>
      <c r="D183" s="103"/>
      <c r="E183" s="103"/>
      <c r="F183" s="103"/>
      <c r="G183" s="103"/>
      <c r="H183" s="103"/>
      <c r="I183" s="103"/>
    </row>
    <row r="184" spans="1:9">
      <c r="A184" s="121"/>
      <c r="B184" s="140"/>
      <c r="C184" s="103"/>
      <c r="D184" s="103"/>
      <c r="E184" s="103"/>
      <c r="F184" s="103"/>
      <c r="G184" s="103"/>
      <c r="H184" s="103"/>
      <c r="I184" s="103"/>
    </row>
    <row r="185" spans="1:9">
      <c r="A185" s="121"/>
      <c r="B185" s="140"/>
      <c r="C185" s="103"/>
      <c r="D185" s="103"/>
      <c r="E185" s="103"/>
      <c r="F185" s="103"/>
      <c r="G185" s="103"/>
      <c r="H185" s="103"/>
      <c r="I185" s="103"/>
    </row>
    <row r="186" spans="1:9">
      <c r="A186" s="121"/>
      <c r="B186" s="140"/>
      <c r="C186" s="103"/>
      <c r="D186" s="103"/>
      <c r="E186" s="103"/>
      <c r="F186" s="103"/>
      <c r="G186" s="103"/>
      <c r="H186" s="103"/>
      <c r="I186" s="103"/>
    </row>
    <row r="187" spans="1:9">
      <c r="A187" s="121"/>
      <c r="B187" s="140"/>
      <c r="C187" s="103"/>
      <c r="D187" s="103"/>
      <c r="E187" s="103"/>
      <c r="F187" s="103"/>
      <c r="G187" s="103"/>
      <c r="H187" s="103"/>
      <c r="I187" s="103"/>
    </row>
    <row r="188" spans="1:9">
      <c r="A188" s="121"/>
      <c r="B188" s="140"/>
      <c r="C188" s="103"/>
      <c r="D188" s="103"/>
      <c r="E188" s="103"/>
      <c r="F188" s="103"/>
      <c r="G188" s="103"/>
      <c r="H188" s="103"/>
      <c r="I188" s="103"/>
    </row>
    <row r="189" spans="1:9">
      <c r="A189" s="121"/>
      <c r="B189" s="140"/>
      <c r="C189" s="103"/>
      <c r="D189" s="103"/>
      <c r="E189" s="103"/>
      <c r="F189" s="103"/>
      <c r="G189" s="103"/>
      <c r="H189" s="103"/>
      <c r="I189" s="103"/>
    </row>
    <row r="190" spans="1:9">
      <c r="A190" s="121"/>
      <c r="B190" s="140"/>
      <c r="C190" s="103"/>
      <c r="D190" s="103"/>
      <c r="E190" s="103"/>
      <c r="F190" s="103"/>
      <c r="G190" s="103"/>
      <c r="H190" s="103"/>
      <c r="I190" s="103"/>
    </row>
    <row r="191" spans="1:9">
      <c r="A191" s="121"/>
      <c r="B191" s="140"/>
      <c r="C191" s="103"/>
      <c r="D191" s="103"/>
      <c r="E191" s="103"/>
      <c r="F191" s="103"/>
      <c r="G191" s="103"/>
      <c r="H191" s="103"/>
      <c r="I191" s="103"/>
    </row>
    <row r="192" spans="1:9">
      <c r="A192" s="121"/>
      <c r="B192" s="140"/>
      <c r="C192" s="103"/>
      <c r="D192" s="103"/>
      <c r="E192" s="103"/>
      <c r="F192" s="103"/>
      <c r="G192" s="103"/>
      <c r="H192" s="103"/>
      <c r="I192" s="103"/>
    </row>
    <row r="193" spans="1:9">
      <c r="A193" s="121"/>
      <c r="B193" s="140"/>
      <c r="C193" s="103"/>
      <c r="D193" s="103"/>
      <c r="E193" s="103"/>
      <c r="F193" s="103"/>
      <c r="G193" s="103"/>
      <c r="H193" s="103"/>
      <c r="I193" s="103"/>
    </row>
    <row r="194" spans="1:9">
      <c r="A194" s="121"/>
      <c r="B194" s="140"/>
      <c r="C194" s="103"/>
      <c r="D194" s="103"/>
      <c r="E194" s="103"/>
      <c r="F194" s="103"/>
      <c r="G194" s="103"/>
      <c r="H194" s="103"/>
      <c r="I194" s="103"/>
    </row>
    <row r="195" spans="1:9">
      <c r="A195" s="121"/>
      <c r="B195" s="140"/>
      <c r="C195" s="103"/>
      <c r="D195" s="103"/>
      <c r="E195" s="103"/>
      <c r="F195" s="103"/>
      <c r="G195" s="103"/>
      <c r="H195" s="103"/>
      <c r="I195" s="103"/>
    </row>
    <row r="196" spans="1:9">
      <c r="A196" s="121"/>
      <c r="B196" s="140"/>
      <c r="C196" s="103"/>
      <c r="D196" s="103"/>
      <c r="E196" s="103"/>
      <c r="F196" s="103"/>
      <c r="G196" s="103"/>
      <c r="H196" s="103"/>
      <c r="I196" s="103"/>
    </row>
    <row r="197" spans="1:9">
      <c r="A197" s="121"/>
      <c r="B197" s="140"/>
      <c r="C197" s="103"/>
      <c r="D197" s="103"/>
      <c r="E197" s="103"/>
      <c r="F197" s="103"/>
      <c r="G197" s="103"/>
      <c r="H197" s="103"/>
      <c r="I197" s="103"/>
    </row>
    <row r="198" spans="1:9">
      <c r="A198" s="121"/>
      <c r="B198" s="140"/>
      <c r="C198" s="103"/>
      <c r="D198" s="103"/>
      <c r="E198" s="103"/>
      <c r="F198" s="103"/>
      <c r="G198" s="103"/>
      <c r="H198" s="103"/>
      <c r="I198" s="103"/>
    </row>
    <row r="199" spans="1:9">
      <c r="A199" s="121"/>
      <c r="B199" s="140"/>
      <c r="C199" s="103"/>
      <c r="D199" s="103"/>
      <c r="E199" s="103"/>
      <c r="F199" s="103"/>
      <c r="G199" s="103"/>
      <c r="H199" s="103"/>
      <c r="I199" s="103"/>
    </row>
    <row r="200" spans="1:9">
      <c r="A200" s="121"/>
      <c r="B200" s="140"/>
      <c r="C200" s="103"/>
      <c r="D200" s="103"/>
      <c r="E200" s="103"/>
      <c r="F200" s="103"/>
      <c r="G200" s="103"/>
      <c r="H200" s="103"/>
      <c r="I200" s="103"/>
    </row>
    <row r="201" spans="1:9">
      <c r="B201" s="139"/>
      <c r="C201" s="103"/>
      <c r="D201" s="103"/>
      <c r="E201" s="103"/>
      <c r="F201" s="103"/>
      <c r="G201" s="103"/>
      <c r="H201" s="103"/>
      <c r="I201" s="103"/>
    </row>
    <row r="202" spans="1:9">
      <c r="B202" s="139"/>
      <c r="C202" s="103"/>
      <c r="D202" s="103"/>
      <c r="E202" s="103"/>
      <c r="F202" s="103"/>
      <c r="G202" s="103"/>
      <c r="H202" s="103"/>
      <c r="I202" s="103"/>
    </row>
    <row r="203" spans="1:9">
      <c r="B203" s="139"/>
      <c r="C203" s="103"/>
      <c r="D203" s="103"/>
      <c r="E203" s="103"/>
      <c r="F203" s="103"/>
      <c r="G203" s="103"/>
      <c r="H203" s="103"/>
      <c r="I203" s="103"/>
    </row>
    <row r="204" spans="1:9">
      <c r="B204" s="139"/>
      <c r="C204" s="103"/>
      <c r="D204" s="103"/>
      <c r="E204" s="103"/>
      <c r="F204" s="103"/>
      <c r="G204" s="103"/>
      <c r="H204" s="103"/>
      <c r="I204" s="103"/>
    </row>
    <row r="205" spans="1:9">
      <c r="B205" s="139"/>
      <c r="C205" s="103"/>
      <c r="D205" s="103"/>
      <c r="E205" s="103"/>
      <c r="F205" s="103"/>
      <c r="G205" s="103"/>
      <c r="H205" s="103"/>
      <c r="I205" s="103"/>
    </row>
    <row r="206" spans="1:9">
      <c r="B206" s="139"/>
      <c r="C206" s="103"/>
      <c r="D206" s="103"/>
      <c r="E206" s="103"/>
      <c r="F206" s="103"/>
      <c r="G206" s="103"/>
      <c r="H206" s="103"/>
      <c r="I206" s="103"/>
    </row>
    <row r="207" spans="1:9">
      <c r="B207" s="139"/>
      <c r="C207" s="103"/>
      <c r="D207" s="103"/>
      <c r="E207" s="103"/>
      <c r="F207" s="103"/>
      <c r="G207" s="103"/>
      <c r="H207" s="103"/>
      <c r="I207" s="103"/>
    </row>
    <row r="208" spans="1:9">
      <c r="B208" s="139"/>
      <c r="C208" s="103"/>
      <c r="D208" s="103"/>
      <c r="E208" s="103"/>
      <c r="F208" s="103"/>
      <c r="G208" s="103"/>
      <c r="H208" s="103"/>
      <c r="I208" s="103"/>
    </row>
    <row r="209" spans="2:9">
      <c r="B209" s="139"/>
      <c r="C209" s="103"/>
      <c r="D209" s="103"/>
      <c r="E209" s="103"/>
      <c r="F209" s="103"/>
      <c r="G209" s="103"/>
      <c r="H209" s="103"/>
      <c r="I209" s="103"/>
    </row>
    <row r="210" spans="2:9">
      <c r="B210" s="139"/>
      <c r="C210" s="103"/>
      <c r="D210" s="103"/>
      <c r="E210" s="103"/>
      <c r="F210" s="103"/>
      <c r="G210" s="103"/>
      <c r="H210" s="103"/>
      <c r="I210" s="103"/>
    </row>
    <row r="211" spans="2:9">
      <c r="B211" s="139"/>
      <c r="C211" s="103"/>
      <c r="D211" s="103"/>
      <c r="E211" s="103"/>
      <c r="F211" s="103"/>
      <c r="G211" s="103"/>
      <c r="H211" s="103"/>
      <c r="I211" s="103"/>
    </row>
    <row r="212" spans="2:9">
      <c r="B212" s="139"/>
      <c r="C212" s="103"/>
      <c r="D212" s="103"/>
      <c r="E212" s="103"/>
      <c r="F212" s="103"/>
      <c r="G212" s="103"/>
      <c r="H212" s="103"/>
      <c r="I212" s="103"/>
    </row>
    <row r="213" spans="2:9">
      <c r="B213" s="139"/>
      <c r="C213" s="103"/>
      <c r="D213" s="103"/>
      <c r="E213" s="103"/>
      <c r="F213" s="103"/>
      <c r="G213" s="103"/>
      <c r="H213" s="103"/>
      <c r="I213" s="103"/>
    </row>
    <row r="214" spans="2:9">
      <c r="B214" s="139"/>
      <c r="C214" s="103"/>
      <c r="D214" s="103"/>
      <c r="E214" s="103"/>
      <c r="F214" s="103"/>
      <c r="G214" s="103"/>
      <c r="H214" s="103"/>
      <c r="I214" s="103"/>
    </row>
    <row r="215" spans="2:9">
      <c r="B215" s="139"/>
      <c r="C215" s="103"/>
      <c r="D215" s="103"/>
      <c r="E215" s="103"/>
      <c r="F215" s="103"/>
      <c r="G215" s="103"/>
      <c r="H215" s="103"/>
      <c r="I215" s="103"/>
    </row>
    <row r="216" spans="2:9">
      <c r="B216" s="139"/>
      <c r="C216" s="103"/>
      <c r="D216" s="103"/>
      <c r="E216" s="103"/>
      <c r="F216" s="103"/>
      <c r="G216" s="103"/>
      <c r="H216" s="103"/>
      <c r="I216" s="103"/>
    </row>
    <row r="217" spans="2:9">
      <c r="B217" s="139"/>
      <c r="C217" s="103"/>
      <c r="D217" s="103"/>
      <c r="E217" s="103"/>
      <c r="F217" s="103"/>
      <c r="G217" s="103"/>
      <c r="H217" s="103"/>
      <c r="I217" s="103"/>
    </row>
    <row r="218" spans="2:9">
      <c r="B218" s="139"/>
      <c r="C218" s="103"/>
      <c r="D218" s="103"/>
      <c r="E218" s="103"/>
      <c r="F218" s="103"/>
      <c r="G218" s="103"/>
      <c r="H218" s="103"/>
      <c r="I218" s="103"/>
    </row>
    <row r="219" spans="2:9">
      <c r="B219" s="139"/>
      <c r="C219" s="103"/>
      <c r="D219" s="103"/>
      <c r="E219" s="103"/>
      <c r="F219" s="103"/>
      <c r="G219" s="103"/>
      <c r="H219" s="103"/>
      <c r="I219" s="103"/>
    </row>
    <row r="220" spans="2:9">
      <c r="B220" s="139"/>
      <c r="C220" s="103"/>
      <c r="D220" s="103"/>
      <c r="E220" s="103"/>
      <c r="F220" s="103"/>
      <c r="G220" s="103"/>
      <c r="H220" s="103"/>
      <c r="I220" s="103"/>
    </row>
    <row r="221" spans="2:9">
      <c r="B221" s="139"/>
      <c r="C221" s="103"/>
      <c r="D221" s="103"/>
      <c r="E221" s="103"/>
      <c r="F221" s="103"/>
      <c r="G221" s="103"/>
      <c r="H221" s="103"/>
      <c r="I221" s="103"/>
    </row>
    <row r="222" spans="2:9">
      <c r="B222" s="139"/>
      <c r="C222" s="103"/>
      <c r="D222" s="103"/>
      <c r="E222" s="103"/>
      <c r="F222" s="103"/>
      <c r="G222" s="103"/>
      <c r="H222" s="103"/>
      <c r="I222" s="103"/>
    </row>
    <row r="223" spans="2:9">
      <c r="B223" s="139"/>
      <c r="C223" s="103"/>
      <c r="D223" s="103"/>
      <c r="E223" s="103"/>
      <c r="F223" s="103"/>
      <c r="G223" s="103"/>
      <c r="H223" s="103"/>
      <c r="I223" s="103"/>
    </row>
    <row r="224" spans="2:9">
      <c r="B224" s="139"/>
      <c r="C224" s="103"/>
      <c r="D224" s="103"/>
      <c r="E224" s="103"/>
      <c r="F224" s="103"/>
      <c r="G224" s="103"/>
      <c r="H224" s="103"/>
      <c r="I224" s="103"/>
    </row>
    <row r="225" spans="2:9">
      <c r="B225" s="139"/>
      <c r="C225" s="103"/>
      <c r="D225" s="103"/>
      <c r="E225" s="103"/>
      <c r="F225" s="103"/>
      <c r="G225" s="103"/>
      <c r="H225" s="103"/>
      <c r="I225" s="103"/>
    </row>
    <row r="226" spans="2:9">
      <c r="B226" s="139"/>
      <c r="C226" s="103"/>
      <c r="D226" s="103"/>
      <c r="E226" s="103"/>
      <c r="F226" s="103"/>
      <c r="G226" s="103"/>
      <c r="H226" s="103"/>
      <c r="I226" s="103"/>
    </row>
    <row r="227" spans="2:9">
      <c r="B227" s="139"/>
      <c r="C227" s="103"/>
      <c r="D227" s="103"/>
      <c r="E227" s="103"/>
      <c r="F227" s="103"/>
      <c r="G227" s="103"/>
      <c r="H227" s="103"/>
      <c r="I227" s="103"/>
    </row>
    <row r="228" spans="2:9">
      <c r="B228" s="139"/>
      <c r="C228" s="103"/>
      <c r="D228" s="103"/>
      <c r="E228" s="103"/>
      <c r="F228" s="103"/>
      <c r="G228" s="103"/>
      <c r="H228" s="103"/>
      <c r="I228" s="103"/>
    </row>
    <row r="229" spans="2:9">
      <c r="B229" s="139"/>
      <c r="C229" s="103"/>
      <c r="D229" s="103"/>
      <c r="E229" s="103"/>
      <c r="F229" s="103"/>
      <c r="G229" s="103"/>
      <c r="H229" s="103"/>
      <c r="I229" s="103"/>
    </row>
    <row r="230" spans="2:9">
      <c r="B230" s="139"/>
      <c r="C230" s="103"/>
      <c r="D230" s="103"/>
      <c r="E230" s="103"/>
      <c r="F230" s="103"/>
      <c r="G230" s="103"/>
      <c r="H230" s="103"/>
      <c r="I230" s="103"/>
    </row>
    <row r="231" spans="2:9">
      <c r="B231" s="139"/>
      <c r="C231" s="103"/>
      <c r="D231" s="103"/>
      <c r="E231" s="103"/>
      <c r="F231" s="103"/>
      <c r="G231" s="103"/>
      <c r="H231" s="103"/>
      <c r="I231" s="103"/>
    </row>
    <row r="232" spans="2:9">
      <c r="B232" s="139"/>
      <c r="C232" s="103"/>
      <c r="D232" s="103"/>
      <c r="E232" s="103"/>
      <c r="F232" s="103"/>
      <c r="G232" s="103"/>
      <c r="H232" s="103"/>
      <c r="I232" s="103"/>
    </row>
    <row r="233" spans="2:9">
      <c r="B233" s="139"/>
      <c r="C233" s="103"/>
      <c r="D233" s="103"/>
      <c r="E233" s="103"/>
      <c r="F233" s="103"/>
      <c r="G233" s="103"/>
      <c r="H233" s="103"/>
      <c r="I233" s="103"/>
    </row>
    <row r="234" spans="2:9">
      <c r="B234" s="139"/>
      <c r="C234" s="103"/>
      <c r="D234" s="103"/>
      <c r="E234" s="103"/>
      <c r="F234" s="103"/>
      <c r="G234" s="103"/>
      <c r="H234" s="103"/>
      <c r="I234" s="103"/>
    </row>
    <row r="235" spans="2:9">
      <c r="B235" s="139"/>
      <c r="C235" s="103"/>
      <c r="D235" s="103"/>
      <c r="E235" s="103"/>
      <c r="F235" s="103"/>
      <c r="G235" s="103"/>
      <c r="H235" s="103"/>
      <c r="I235" s="103"/>
    </row>
    <row r="236" spans="2:9">
      <c r="B236" s="139"/>
      <c r="C236" s="103"/>
      <c r="D236" s="103"/>
      <c r="E236" s="103"/>
      <c r="F236" s="103"/>
      <c r="G236" s="103"/>
      <c r="H236" s="103"/>
      <c r="I236" s="103"/>
    </row>
    <row r="237" spans="2:9">
      <c r="B237" s="139"/>
      <c r="C237" s="103"/>
      <c r="D237" s="103"/>
      <c r="E237" s="103"/>
      <c r="F237" s="103"/>
      <c r="G237" s="103"/>
      <c r="H237" s="103"/>
      <c r="I237" s="103"/>
    </row>
    <row r="238" spans="2:9">
      <c r="B238" s="139"/>
      <c r="C238" s="103"/>
      <c r="D238" s="103"/>
      <c r="E238" s="103"/>
      <c r="F238" s="103"/>
      <c r="G238" s="103"/>
      <c r="H238" s="103"/>
      <c r="I238" s="103"/>
    </row>
    <row r="239" spans="2:9">
      <c r="B239" s="139"/>
      <c r="C239" s="103"/>
      <c r="D239" s="103"/>
      <c r="E239" s="103"/>
      <c r="F239" s="103"/>
      <c r="G239" s="103"/>
      <c r="H239" s="103"/>
      <c r="I239" s="103"/>
    </row>
    <row r="240" spans="2:9">
      <c r="B240" s="139"/>
      <c r="C240" s="103"/>
      <c r="D240" s="103"/>
      <c r="E240" s="103"/>
      <c r="F240" s="103"/>
      <c r="G240" s="103"/>
      <c r="H240" s="103"/>
      <c r="I240" s="103"/>
    </row>
    <row r="241" spans="2:9">
      <c r="B241" s="139"/>
      <c r="C241" s="103"/>
      <c r="D241" s="103"/>
      <c r="E241" s="103"/>
      <c r="F241" s="103"/>
      <c r="G241" s="103"/>
      <c r="H241" s="103"/>
      <c r="I241" s="103"/>
    </row>
    <row r="242" spans="2:9">
      <c r="B242" s="139"/>
      <c r="C242" s="103"/>
      <c r="D242" s="103"/>
      <c r="E242" s="103"/>
      <c r="F242" s="103"/>
      <c r="G242" s="103"/>
      <c r="H242" s="103"/>
      <c r="I242" s="103"/>
    </row>
    <row r="243" spans="2:9">
      <c r="B243" s="139"/>
      <c r="C243" s="103"/>
      <c r="D243" s="103"/>
      <c r="E243" s="103"/>
      <c r="F243" s="103"/>
      <c r="G243" s="103"/>
      <c r="H243" s="103"/>
      <c r="I243" s="103"/>
    </row>
    <row r="244" spans="2:9">
      <c r="B244" s="139"/>
      <c r="C244" s="103"/>
      <c r="D244" s="103"/>
      <c r="E244" s="103"/>
      <c r="F244" s="103"/>
      <c r="G244" s="103"/>
      <c r="H244" s="103"/>
      <c r="I244" s="103"/>
    </row>
    <row r="245" spans="2:9">
      <c r="B245" s="139"/>
      <c r="C245" s="103"/>
      <c r="D245" s="103"/>
      <c r="E245" s="103"/>
      <c r="F245" s="103"/>
      <c r="G245" s="103"/>
      <c r="H245" s="103"/>
      <c r="I245" s="103"/>
    </row>
    <row r="246" spans="2:9">
      <c r="B246" s="139"/>
      <c r="C246" s="103"/>
      <c r="D246" s="103"/>
      <c r="E246" s="103"/>
      <c r="F246" s="103"/>
      <c r="G246" s="103"/>
      <c r="H246" s="103"/>
      <c r="I246" s="103"/>
    </row>
    <row r="247" spans="2:9">
      <c r="B247" s="139"/>
      <c r="C247" s="103"/>
      <c r="D247" s="103"/>
      <c r="E247" s="103"/>
      <c r="F247" s="103"/>
      <c r="G247" s="103"/>
      <c r="H247" s="103"/>
      <c r="I247" s="103"/>
    </row>
    <row r="248" spans="2:9">
      <c r="B248" s="139"/>
      <c r="C248" s="103"/>
      <c r="D248" s="103"/>
      <c r="E248" s="103"/>
      <c r="F248" s="103"/>
      <c r="G248" s="103"/>
      <c r="H248" s="103"/>
      <c r="I248" s="103"/>
    </row>
    <row r="249" spans="2:9">
      <c r="B249" s="139"/>
      <c r="C249" s="103"/>
      <c r="D249" s="103"/>
      <c r="E249" s="103"/>
      <c r="F249" s="103"/>
      <c r="G249" s="103"/>
      <c r="H249" s="103"/>
      <c r="I249" s="103"/>
    </row>
    <row r="250" spans="2:9">
      <c r="B250" s="139"/>
      <c r="C250" s="103"/>
      <c r="D250" s="103"/>
      <c r="E250" s="103"/>
      <c r="F250" s="103"/>
      <c r="G250" s="103"/>
      <c r="H250" s="103"/>
      <c r="I250" s="103"/>
    </row>
    <row r="251" spans="2:9">
      <c r="B251" s="139"/>
      <c r="C251" s="103"/>
      <c r="D251" s="103"/>
      <c r="E251" s="103"/>
      <c r="F251" s="103"/>
      <c r="G251" s="103"/>
      <c r="H251" s="103"/>
      <c r="I251" s="103"/>
    </row>
    <row r="252" spans="2:9">
      <c r="B252" s="139"/>
      <c r="C252" s="103"/>
      <c r="D252" s="103"/>
      <c r="E252" s="103"/>
      <c r="F252" s="103"/>
      <c r="G252" s="103"/>
      <c r="H252" s="103"/>
      <c r="I252" s="103"/>
    </row>
    <row r="253" spans="2:9">
      <c r="B253" s="139"/>
      <c r="C253" s="103"/>
      <c r="D253" s="103"/>
      <c r="E253" s="103"/>
      <c r="F253" s="103"/>
      <c r="G253" s="103"/>
      <c r="H253" s="103"/>
      <c r="I253" s="103"/>
    </row>
    <row r="254" spans="2:9">
      <c r="B254" s="139"/>
      <c r="C254" s="103"/>
      <c r="D254" s="103"/>
      <c r="E254" s="103"/>
      <c r="F254" s="103"/>
      <c r="G254" s="103"/>
      <c r="H254" s="103"/>
      <c r="I254" s="103"/>
    </row>
    <row r="255" spans="2:9">
      <c r="B255" s="139"/>
      <c r="C255" s="103"/>
      <c r="D255" s="103"/>
      <c r="E255" s="103"/>
      <c r="F255" s="103"/>
      <c r="G255" s="103"/>
      <c r="H255" s="103"/>
      <c r="I255" s="103"/>
    </row>
    <row r="256" spans="2:9">
      <c r="B256" s="139"/>
      <c r="C256" s="103"/>
      <c r="D256" s="103"/>
      <c r="E256" s="103"/>
      <c r="F256" s="103"/>
      <c r="G256" s="103"/>
      <c r="H256" s="103"/>
      <c r="I256" s="103"/>
    </row>
    <row r="257" spans="2:9">
      <c r="B257" s="139"/>
      <c r="C257" s="103"/>
      <c r="D257" s="103"/>
      <c r="E257" s="103"/>
      <c r="F257" s="103"/>
      <c r="G257" s="103"/>
      <c r="H257" s="103"/>
      <c r="I257" s="103"/>
    </row>
    <row r="258" spans="2:9">
      <c r="B258" s="139"/>
      <c r="C258" s="103"/>
      <c r="D258" s="103"/>
      <c r="E258" s="103"/>
      <c r="F258" s="103"/>
      <c r="G258" s="103"/>
      <c r="H258" s="103"/>
      <c r="I258" s="103"/>
    </row>
    <row r="259" spans="2:9">
      <c r="B259" s="139"/>
      <c r="C259" s="103"/>
      <c r="D259" s="103"/>
      <c r="E259" s="103"/>
      <c r="F259" s="103"/>
      <c r="G259" s="103"/>
      <c r="H259" s="103"/>
      <c r="I259" s="103"/>
    </row>
    <row r="260" spans="2:9">
      <c r="B260" s="139"/>
      <c r="C260" s="103"/>
      <c r="D260" s="103"/>
      <c r="E260" s="103"/>
      <c r="F260" s="103"/>
      <c r="G260" s="103"/>
      <c r="H260" s="103"/>
      <c r="I260" s="103"/>
    </row>
    <row r="261" spans="2:9">
      <c r="B261" s="139"/>
      <c r="C261" s="103"/>
      <c r="D261" s="103"/>
      <c r="E261" s="103"/>
      <c r="F261" s="103"/>
      <c r="G261" s="103"/>
      <c r="H261" s="103"/>
      <c r="I261" s="103"/>
    </row>
    <row r="262" spans="2:9">
      <c r="B262" s="139"/>
      <c r="C262" s="103"/>
      <c r="D262" s="103"/>
      <c r="E262" s="103"/>
      <c r="F262" s="103"/>
      <c r="G262" s="103"/>
      <c r="H262" s="103"/>
      <c r="I262" s="103"/>
    </row>
    <row r="263" spans="2:9">
      <c r="B263" s="139"/>
      <c r="C263" s="103"/>
      <c r="D263" s="103"/>
      <c r="E263" s="103"/>
      <c r="F263" s="103"/>
      <c r="G263" s="103"/>
      <c r="H263" s="103"/>
      <c r="I263" s="103"/>
    </row>
    <row r="264" spans="2:9">
      <c r="B264" s="139"/>
      <c r="C264" s="103"/>
      <c r="D264" s="103"/>
      <c r="E264" s="103"/>
      <c r="F264" s="103"/>
      <c r="G264" s="103"/>
      <c r="H264" s="103"/>
      <c r="I264" s="103"/>
    </row>
  </sheetData>
  <sortState xmlns:xlrd2="http://schemas.microsoft.com/office/spreadsheetml/2017/richdata2" ref="A2:J255">
    <sortCondition ref="A2:A255"/>
  </sortState>
  <conditionalFormatting sqref="C2:H264">
    <cfRule type="cellIs" dxfId="1" priority="2" operator="greaterThanOrEqual">
      <formula>0.5</formula>
    </cfRule>
  </conditionalFormatting>
  <conditionalFormatting sqref="B146:B198">
    <cfRule type="cellIs" dxfId="0" priority="1" operator="greaterThanOrEqual">
      <formula>1</formula>
    </cfRule>
  </conditionalFormatting>
  <pageMargins left="0.75" right="0.75" top="1" bottom="1" header="0.5" footer="0.5"/>
  <pageSetup orientation="portrait" r:id="rId1"/>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dimension ref="A1:J35"/>
  <sheetViews>
    <sheetView workbookViewId="0">
      <pane ySplit="1" topLeftCell="A2" activePane="bottomLeft" state="frozen"/>
      <selection pane="bottomLeft" activeCell="A3" sqref="A3"/>
    </sheetView>
  </sheetViews>
  <sheetFormatPr defaultRowHeight="14.45"/>
  <cols>
    <col min="1" max="1" width="17" customWidth="1"/>
    <col min="2" max="2" width="17.5703125" customWidth="1"/>
    <col min="3" max="3" width="23.5703125" customWidth="1"/>
    <col min="4" max="4" width="32.42578125" customWidth="1"/>
    <col min="5" max="5" width="38.140625" customWidth="1"/>
    <col min="6" max="6" width="24.5703125" customWidth="1"/>
    <col min="7" max="8" width="36.85546875" customWidth="1"/>
    <col min="10" max="10" width="16.42578125" customWidth="1"/>
  </cols>
  <sheetData>
    <row r="1" spans="1:10" s="26" customFormat="1" ht="144.94999999999999">
      <c r="A1" s="23" t="s">
        <v>259</v>
      </c>
      <c r="B1" s="24" t="s">
        <v>260</v>
      </c>
      <c r="C1" s="25" t="s">
        <v>261</v>
      </c>
      <c r="D1" s="25" t="s">
        <v>262</v>
      </c>
      <c r="E1" s="25" t="s">
        <v>263</v>
      </c>
      <c r="F1" s="25" t="s">
        <v>264</v>
      </c>
      <c r="G1" s="25" t="s">
        <v>265</v>
      </c>
      <c r="H1" s="25" t="s">
        <v>266</v>
      </c>
    </row>
    <row r="2" spans="1:10">
      <c r="A2" s="27" t="s">
        <v>116</v>
      </c>
      <c r="B2" s="27" t="s">
        <v>267</v>
      </c>
      <c r="C2" s="27" t="s">
        <v>267</v>
      </c>
      <c r="D2" s="27" t="s">
        <v>268</v>
      </c>
      <c r="E2" s="27">
        <v>21</v>
      </c>
      <c r="F2" s="27">
        <v>160</v>
      </c>
      <c r="G2" s="27"/>
      <c r="H2" s="27"/>
      <c r="I2" s="143" t="s">
        <v>0</v>
      </c>
      <c r="J2" s="143"/>
    </row>
    <row r="3" spans="1:10">
      <c r="A3" s="27" t="s">
        <v>117</v>
      </c>
      <c r="B3" s="27" t="s">
        <v>267</v>
      </c>
      <c r="C3" s="27" t="s">
        <v>267</v>
      </c>
      <c r="D3" s="27" t="s">
        <v>268</v>
      </c>
      <c r="E3" s="27">
        <v>2</v>
      </c>
      <c r="F3" s="27">
        <v>38</v>
      </c>
      <c r="G3" s="27"/>
      <c r="H3" s="27"/>
      <c r="I3" s="143" t="s">
        <v>1</v>
      </c>
      <c r="J3" s="143"/>
    </row>
    <row r="4" spans="1:10">
      <c r="A4" s="27" t="s">
        <v>121</v>
      </c>
      <c r="B4" s="27" t="s">
        <v>268</v>
      </c>
      <c r="C4" s="27" t="s">
        <v>269</v>
      </c>
      <c r="D4" s="27" t="s">
        <v>268</v>
      </c>
      <c r="E4" s="27">
        <v>0</v>
      </c>
      <c r="F4" s="27">
        <v>62</v>
      </c>
      <c r="G4" s="27"/>
      <c r="H4" s="27"/>
    </row>
    <row r="5" spans="1:10">
      <c r="A5" s="27" t="s">
        <v>122</v>
      </c>
      <c r="B5" s="27" t="s">
        <v>267</v>
      </c>
      <c r="C5" s="27" t="s">
        <v>269</v>
      </c>
      <c r="D5" s="27" t="s">
        <v>268</v>
      </c>
      <c r="E5" s="27">
        <v>1</v>
      </c>
      <c r="F5" s="27">
        <v>429</v>
      </c>
      <c r="G5" s="27"/>
      <c r="H5" s="27"/>
    </row>
    <row r="6" spans="1:10">
      <c r="A6" s="27" t="s">
        <v>125</v>
      </c>
      <c r="B6" s="27" t="s">
        <v>267</v>
      </c>
      <c r="C6" s="27" t="s">
        <v>267</v>
      </c>
      <c r="D6" s="27" t="s">
        <v>268</v>
      </c>
      <c r="E6" s="27">
        <v>31</v>
      </c>
      <c r="F6" s="27">
        <v>279</v>
      </c>
      <c r="G6" s="27"/>
      <c r="H6" s="27"/>
    </row>
    <row r="7" spans="1:10">
      <c r="A7" s="27" t="s">
        <v>127</v>
      </c>
      <c r="B7" s="27" t="s">
        <v>267</v>
      </c>
      <c r="C7" s="27" t="s">
        <v>267</v>
      </c>
      <c r="D7" s="27" t="s">
        <v>268</v>
      </c>
      <c r="E7" s="27">
        <v>19</v>
      </c>
      <c r="F7" s="27">
        <v>143</v>
      </c>
      <c r="G7" s="27"/>
      <c r="H7" s="27"/>
    </row>
    <row r="8" spans="1:10">
      <c r="A8" s="27" t="s">
        <v>130</v>
      </c>
      <c r="B8" s="27" t="s">
        <v>267</v>
      </c>
      <c r="C8" s="27" t="s">
        <v>267</v>
      </c>
      <c r="D8" s="27" t="s">
        <v>267</v>
      </c>
      <c r="E8" s="27">
        <v>0</v>
      </c>
      <c r="F8" s="27">
        <v>54</v>
      </c>
      <c r="G8" s="27"/>
      <c r="H8" s="27"/>
    </row>
    <row r="9" spans="1:10">
      <c r="A9" s="27" t="s">
        <v>131</v>
      </c>
      <c r="B9" s="27" t="s">
        <v>267</v>
      </c>
      <c r="C9" s="27" t="s">
        <v>267</v>
      </c>
      <c r="D9" s="27" t="s">
        <v>267</v>
      </c>
      <c r="E9" s="27">
        <v>76</v>
      </c>
      <c r="F9" s="27">
        <v>2452</v>
      </c>
      <c r="G9" s="27"/>
      <c r="H9" s="27"/>
    </row>
    <row r="10" spans="1:10">
      <c r="A10" s="27" t="s">
        <v>132</v>
      </c>
      <c r="B10" t="s">
        <v>267</v>
      </c>
      <c r="C10" s="27" t="s">
        <v>267</v>
      </c>
      <c r="D10" s="27" t="s">
        <v>268</v>
      </c>
      <c r="E10" s="27">
        <v>1</v>
      </c>
      <c r="F10" s="27">
        <v>56</v>
      </c>
      <c r="G10" s="27"/>
      <c r="H10" s="27"/>
    </row>
    <row r="11" spans="1:10">
      <c r="A11" s="27" t="s">
        <v>137</v>
      </c>
      <c r="B11" s="27" t="s">
        <v>268</v>
      </c>
      <c r="C11" s="27" t="s">
        <v>268</v>
      </c>
      <c r="D11" s="27" t="s">
        <v>268</v>
      </c>
      <c r="E11" s="27">
        <v>0</v>
      </c>
      <c r="F11" s="27">
        <v>305</v>
      </c>
      <c r="G11" s="27"/>
      <c r="H11" s="27"/>
    </row>
    <row r="12" spans="1:10">
      <c r="A12" s="27" t="s">
        <v>138</v>
      </c>
      <c r="B12" s="27" t="s">
        <v>268</v>
      </c>
      <c r="C12" s="27" t="s">
        <v>268</v>
      </c>
      <c r="D12" s="27" t="s">
        <v>268</v>
      </c>
      <c r="E12" s="27">
        <v>0</v>
      </c>
      <c r="F12" s="27">
        <v>31</v>
      </c>
      <c r="G12" s="27"/>
      <c r="H12" s="27"/>
    </row>
    <row r="13" spans="1:10">
      <c r="A13" s="27" t="s">
        <v>139</v>
      </c>
      <c r="B13" s="27" t="s">
        <v>268</v>
      </c>
      <c r="C13" s="27" t="s">
        <v>268</v>
      </c>
      <c r="D13" s="27" t="s">
        <v>268</v>
      </c>
      <c r="E13" s="27">
        <v>0</v>
      </c>
      <c r="F13" s="27">
        <v>27</v>
      </c>
      <c r="G13" s="27"/>
      <c r="H13" s="27"/>
    </row>
    <row r="14" spans="1:10">
      <c r="A14" s="27" t="s">
        <v>143</v>
      </c>
      <c r="B14" s="27" t="s">
        <v>267</v>
      </c>
      <c r="C14" s="27" t="s">
        <v>267</v>
      </c>
      <c r="D14" s="27" t="s">
        <v>268</v>
      </c>
      <c r="E14" s="27">
        <v>1</v>
      </c>
      <c r="F14" s="27">
        <v>242</v>
      </c>
      <c r="G14" s="27"/>
      <c r="H14" s="27"/>
    </row>
    <row r="15" spans="1:10">
      <c r="A15" s="27" t="s">
        <v>144</v>
      </c>
      <c r="B15" s="27" t="s">
        <v>268</v>
      </c>
      <c r="C15" s="27" t="s">
        <v>268</v>
      </c>
      <c r="D15" s="27" t="s">
        <v>268</v>
      </c>
      <c r="E15" s="27">
        <v>0</v>
      </c>
      <c r="F15" s="27">
        <v>78</v>
      </c>
      <c r="G15" s="27"/>
      <c r="H15" s="27"/>
    </row>
    <row r="16" spans="1:10">
      <c r="A16" s="27" t="s">
        <v>148</v>
      </c>
      <c r="B16" s="27" t="s">
        <v>267</v>
      </c>
      <c r="C16" s="27" t="s">
        <v>267</v>
      </c>
      <c r="D16" s="27" t="s">
        <v>268</v>
      </c>
      <c r="E16" s="27">
        <v>11</v>
      </c>
      <c r="F16" s="27">
        <v>36</v>
      </c>
      <c r="G16" s="27"/>
      <c r="H16" s="27"/>
    </row>
    <row r="17" spans="1:8">
      <c r="A17" s="27" t="s">
        <v>149</v>
      </c>
      <c r="B17" s="27" t="s">
        <v>267</v>
      </c>
      <c r="C17" s="27" t="s">
        <v>267</v>
      </c>
      <c r="D17" s="27" t="s">
        <v>268</v>
      </c>
      <c r="E17" s="27">
        <v>3</v>
      </c>
      <c r="F17" s="27">
        <v>58</v>
      </c>
      <c r="G17" s="27"/>
      <c r="H17" s="27"/>
    </row>
    <row r="18" spans="1:8">
      <c r="A18" s="27" t="s">
        <v>151</v>
      </c>
      <c r="B18" s="27" t="s">
        <v>267</v>
      </c>
      <c r="C18" s="27" t="s">
        <v>267</v>
      </c>
      <c r="D18" s="27" t="s">
        <v>268</v>
      </c>
      <c r="E18" s="27">
        <v>31</v>
      </c>
      <c r="F18" s="27">
        <v>174</v>
      </c>
      <c r="G18" s="27"/>
      <c r="H18" s="27"/>
    </row>
    <row r="19" spans="1:8">
      <c r="A19" s="27" t="s">
        <v>153</v>
      </c>
      <c r="B19" s="27" t="s">
        <v>267</v>
      </c>
      <c r="C19" s="27" t="s">
        <v>267</v>
      </c>
      <c r="D19" s="27" t="s">
        <v>268</v>
      </c>
      <c r="E19" s="27">
        <v>40</v>
      </c>
      <c r="F19" s="27">
        <v>119</v>
      </c>
      <c r="G19" s="27"/>
      <c r="H19" s="27"/>
    </row>
    <row r="20" spans="1:8">
      <c r="A20" s="27" t="s">
        <v>161</v>
      </c>
      <c r="B20" s="27" t="s">
        <v>267</v>
      </c>
      <c r="C20" s="27" t="s">
        <v>267</v>
      </c>
      <c r="D20" s="27" t="s">
        <v>268</v>
      </c>
      <c r="E20" s="27">
        <v>8</v>
      </c>
      <c r="F20" s="27">
        <v>300</v>
      </c>
      <c r="G20" s="27"/>
      <c r="H20" s="27"/>
    </row>
    <row r="21" spans="1:8">
      <c r="A21" s="27" t="s">
        <v>163</v>
      </c>
      <c r="B21" s="27" t="s">
        <v>267</v>
      </c>
      <c r="C21" s="27" t="s">
        <v>267</v>
      </c>
      <c r="D21" s="27" t="s">
        <v>268</v>
      </c>
      <c r="E21" s="27">
        <v>41</v>
      </c>
      <c r="F21" s="27">
        <v>315</v>
      </c>
      <c r="G21" s="27"/>
      <c r="H21" s="27"/>
    </row>
    <row r="22" spans="1:8">
      <c r="A22" s="27" t="s">
        <v>164</v>
      </c>
      <c r="B22" s="27" t="s">
        <v>267</v>
      </c>
      <c r="C22" s="27" t="s">
        <v>267</v>
      </c>
      <c r="D22" s="27" t="s">
        <v>268</v>
      </c>
      <c r="E22" s="27">
        <v>2</v>
      </c>
      <c r="F22" s="27">
        <v>162</v>
      </c>
      <c r="G22" s="27"/>
      <c r="H22" s="27"/>
    </row>
    <row r="23" spans="1:8">
      <c r="A23" s="27" t="s">
        <v>166</v>
      </c>
      <c r="B23" s="27" t="s">
        <v>267</v>
      </c>
      <c r="C23" s="27" t="s">
        <v>267</v>
      </c>
      <c r="D23" s="27" t="s">
        <v>267</v>
      </c>
      <c r="E23" s="27">
        <v>4</v>
      </c>
      <c r="F23" s="27">
        <v>569</v>
      </c>
      <c r="G23" s="27"/>
      <c r="H23" s="27"/>
    </row>
    <row r="24" spans="1:8">
      <c r="A24" s="27" t="s">
        <v>170</v>
      </c>
      <c r="B24" s="27" t="s">
        <v>267</v>
      </c>
      <c r="C24" s="27" t="s">
        <v>267</v>
      </c>
      <c r="D24" s="27" t="s">
        <v>267</v>
      </c>
      <c r="E24" s="27">
        <v>1067</v>
      </c>
      <c r="F24" s="27">
        <v>4478</v>
      </c>
      <c r="G24" s="27"/>
      <c r="H24" s="27"/>
    </row>
    <row r="25" spans="1:8">
      <c r="A25" s="27" t="s">
        <v>175</v>
      </c>
      <c r="B25" s="27" t="s">
        <v>267</v>
      </c>
      <c r="C25" s="27" t="s">
        <v>267</v>
      </c>
      <c r="D25" s="27" t="s">
        <v>268</v>
      </c>
      <c r="E25" s="27">
        <v>2</v>
      </c>
      <c r="F25" s="27">
        <v>1039</v>
      </c>
      <c r="G25" s="27"/>
      <c r="H25" s="27"/>
    </row>
    <row r="26" spans="1:8">
      <c r="A26" s="27" t="s">
        <v>176</v>
      </c>
      <c r="B26" s="27" t="s">
        <v>267</v>
      </c>
      <c r="C26" s="27" t="s">
        <v>267</v>
      </c>
      <c r="D26" s="27" t="s">
        <v>268</v>
      </c>
      <c r="E26" s="27">
        <v>4</v>
      </c>
      <c r="F26" s="27">
        <v>423</v>
      </c>
      <c r="G26" s="27"/>
      <c r="H26" s="27"/>
    </row>
    <row r="27" spans="1:8">
      <c r="A27" s="27" t="s">
        <v>179</v>
      </c>
      <c r="B27" s="27" t="s">
        <v>267</v>
      </c>
      <c r="C27" s="27" t="s">
        <v>267</v>
      </c>
      <c r="D27" s="27" t="s">
        <v>269</v>
      </c>
      <c r="E27" s="27">
        <v>6</v>
      </c>
      <c r="F27" s="27">
        <v>106</v>
      </c>
      <c r="G27" s="27"/>
      <c r="H27" s="27"/>
    </row>
    <row r="28" spans="1:8">
      <c r="A28" s="27" t="s">
        <v>180</v>
      </c>
      <c r="B28" s="27" t="s">
        <v>269</v>
      </c>
      <c r="C28" s="27" t="s">
        <v>269</v>
      </c>
      <c r="D28" s="27" t="s">
        <v>269</v>
      </c>
      <c r="E28" s="27">
        <v>0</v>
      </c>
      <c r="F28" s="27">
        <v>48</v>
      </c>
      <c r="G28" s="27"/>
      <c r="H28" s="27"/>
    </row>
    <row r="29" spans="1:8">
      <c r="A29" s="27" t="s">
        <v>184</v>
      </c>
      <c r="B29" s="27" t="s">
        <v>267</v>
      </c>
      <c r="C29" s="27" t="s">
        <v>267</v>
      </c>
      <c r="D29" s="27" t="s">
        <v>269</v>
      </c>
      <c r="E29" s="27">
        <v>6</v>
      </c>
      <c r="F29" s="27">
        <v>415</v>
      </c>
      <c r="G29" s="27"/>
      <c r="H29" s="27"/>
    </row>
    <row r="30" spans="1:8">
      <c r="A30" s="27" t="s">
        <v>186</v>
      </c>
      <c r="B30" s="27" t="s">
        <v>267</v>
      </c>
      <c r="C30" s="27" t="s">
        <v>267</v>
      </c>
      <c r="D30" s="27" t="s">
        <v>268</v>
      </c>
      <c r="E30" s="27">
        <v>1</v>
      </c>
      <c r="F30" s="27">
        <v>70</v>
      </c>
      <c r="G30" s="27"/>
      <c r="H30" s="27"/>
    </row>
    <row r="31" spans="1:8">
      <c r="A31" s="27" t="s">
        <v>187</v>
      </c>
      <c r="B31" s="27" t="s">
        <v>267</v>
      </c>
      <c r="C31" s="27" t="s">
        <v>267</v>
      </c>
      <c r="D31" s="27" t="s">
        <v>267</v>
      </c>
      <c r="E31" s="27">
        <v>854</v>
      </c>
      <c r="F31" s="27">
        <v>5246</v>
      </c>
      <c r="G31" s="27"/>
      <c r="H31" s="27"/>
    </row>
    <row r="32" spans="1:8">
      <c r="A32" s="27" t="s">
        <v>192</v>
      </c>
      <c r="B32" s="27" t="s">
        <v>268</v>
      </c>
      <c r="C32" s="27" t="s">
        <v>268</v>
      </c>
      <c r="D32" s="27" t="s">
        <v>268</v>
      </c>
      <c r="E32" s="27">
        <v>0</v>
      </c>
      <c r="F32" s="27">
        <v>134</v>
      </c>
      <c r="G32" s="27"/>
      <c r="H32" s="27"/>
    </row>
    <row r="33" spans="1:8">
      <c r="A33" s="27"/>
      <c r="B33" s="27"/>
      <c r="C33" s="27"/>
      <c r="D33" s="27"/>
      <c r="E33" s="27"/>
      <c r="F33" s="27"/>
      <c r="G33" s="27"/>
      <c r="H33" s="27"/>
    </row>
    <row r="34" spans="1:8">
      <c r="A34" s="27"/>
      <c r="B34" s="27"/>
      <c r="C34" s="27"/>
      <c r="D34" s="27"/>
      <c r="E34" s="27"/>
      <c r="F34" s="27"/>
      <c r="G34" s="27"/>
      <c r="H34" s="27"/>
    </row>
    <row r="35" spans="1:8">
      <c r="A35" s="27"/>
      <c r="B35" s="27"/>
      <c r="C35" s="27"/>
      <c r="D35" s="27"/>
      <c r="E35" s="27"/>
      <c r="F35" s="27"/>
      <c r="G35" s="27"/>
      <c r="H35" s="27"/>
    </row>
  </sheetData>
  <mergeCells count="2">
    <mergeCell ref="I2:J2"/>
    <mergeCell ref="I3:J3"/>
  </mergeCells>
  <pageMargins left="0.7" right="0.7" top="0.75" bottom="0.75" header="0.3" footer="0.3"/>
  <pageSetup orientation="portrait"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dimension ref="A1:L31"/>
  <sheetViews>
    <sheetView zoomScale="98" zoomScaleNormal="98" workbookViewId="0">
      <selection activeCell="A12" sqref="A12"/>
    </sheetView>
  </sheetViews>
  <sheetFormatPr defaultRowHeight="14.45"/>
  <cols>
    <col min="1" max="1" width="30.85546875" bestFit="1" customWidth="1"/>
    <col min="2" max="2" width="49.140625" style="81" bestFit="1" customWidth="1"/>
    <col min="3" max="3" width="49.42578125" style="81" bestFit="1" customWidth="1"/>
    <col min="4" max="4" width="15.42578125" bestFit="1" customWidth="1"/>
    <col min="5" max="5" width="17.140625" customWidth="1"/>
    <col min="6" max="6" width="45" customWidth="1"/>
    <col min="7" max="7" width="51" customWidth="1"/>
    <col min="8" max="8" width="23.5703125" customWidth="1"/>
    <col min="12" max="12" width="16.5703125" customWidth="1"/>
  </cols>
  <sheetData>
    <row r="1" spans="1:12" ht="15" thickBot="1">
      <c r="A1" s="28" t="s">
        <v>270</v>
      </c>
      <c r="B1" s="186" t="s">
        <v>271</v>
      </c>
      <c r="C1" s="186"/>
      <c r="D1" s="187" t="s">
        <v>272</v>
      </c>
      <c r="E1" s="187"/>
      <c r="F1" s="29" t="s">
        <v>273</v>
      </c>
      <c r="G1" s="30" t="s">
        <v>274</v>
      </c>
      <c r="H1" s="31" t="s">
        <v>275</v>
      </c>
      <c r="K1" s="143" t="s">
        <v>0</v>
      </c>
      <c r="L1" s="143"/>
    </row>
    <row r="2" spans="1:12" s="38" customFormat="1">
      <c r="A2" s="32" t="s">
        <v>110</v>
      </c>
      <c r="B2" s="33" t="s">
        <v>44</v>
      </c>
      <c r="C2" s="34" t="s">
        <v>38</v>
      </c>
      <c r="D2" s="35" t="s">
        <v>44</v>
      </c>
      <c r="E2" s="36" t="s">
        <v>38</v>
      </c>
      <c r="F2" s="36" t="s">
        <v>37</v>
      </c>
      <c r="G2" s="36" t="s">
        <v>37</v>
      </c>
      <c r="H2" s="37" t="s">
        <v>276</v>
      </c>
      <c r="K2" s="143" t="s">
        <v>1</v>
      </c>
      <c r="L2" s="143"/>
    </row>
    <row r="3" spans="1:12">
      <c r="A3" s="39" t="s">
        <v>277</v>
      </c>
      <c r="B3" s="40" t="e">
        <f>STANDARDIZE('[1]4. Raw Indicators'!J2,'[1]3. Descriptive Statistics'!$G$2,'[1]3. Descriptive Statistics'!$H$2)</f>
        <v>#NUM!</v>
      </c>
      <c r="C3" s="40" t="e">
        <f>STANDARDIZE('[1]4. Raw Indicators'!K2,'[1]3. Descriptive Statistics'!$G$2,'[1]3. Descriptive Statistics'!$H$2)</f>
        <v>#NUM!</v>
      </c>
      <c r="D3" s="41" t="e">
        <f>IF(B3&gt;=1,1,0)</f>
        <v>#NUM!</v>
      </c>
      <c r="E3" s="41" t="e">
        <f>IF(C3&gt;=1,1,0)</f>
        <v>#NUM!</v>
      </c>
      <c r="F3" s="42" t="e">
        <f>AVERAGE(D3,E3)</f>
        <v>#NUM!</v>
      </c>
      <c r="G3" s="43" t="e">
        <f>IF(F3&gt;=0.5,1,0)</f>
        <v>#NUM!</v>
      </c>
      <c r="H3" s="44" t="e">
        <f>SUM(G3)</f>
        <v>#NUM!</v>
      </c>
    </row>
    <row r="4" spans="1:12">
      <c r="A4" s="45"/>
      <c r="B4" s="46"/>
      <c r="C4" s="46"/>
      <c r="D4" s="47"/>
      <c r="E4" s="47"/>
      <c r="F4" s="48"/>
      <c r="G4" s="49"/>
      <c r="H4" s="50"/>
    </row>
    <row r="5" spans="1:12" ht="15" customHeight="1">
      <c r="A5" s="51"/>
      <c r="B5" s="188" t="s">
        <v>278</v>
      </c>
      <c r="C5" s="188"/>
      <c r="D5" s="190" t="s">
        <v>279</v>
      </c>
      <c r="E5" s="191"/>
      <c r="F5" s="195" t="s">
        <v>280</v>
      </c>
      <c r="G5" s="190" t="s">
        <v>281</v>
      </c>
      <c r="H5" s="195" t="s">
        <v>282</v>
      </c>
    </row>
    <row r="6" spans="1:12">
      <c r="A6" s="51"/>
      <c r="B6" s="189"/>
      <c r="C6" s="189"/>
      <c r="D6" s="192"/>
      <c r="E6" s="193"/>
      <c r="F6" s="196"/>
      <c r="G6" s="192"/>
      <c r="H6" s="196"/>
    </row>
    <row r="7" spans="1:12">
      <c r="A7" s="51"/>
      <c r="B7" s="52"/>
      <c r="C7" s="53"/>
      <c r="D7" s="189"/>
      <c r="E7" s="194"/>
      <c r="F7" s="196"/>
      <c r="G7" s="192"/>
      <c r="H7" s="196"/>
    </row>
    <row r="8" spans="1:12">
      <c r="A8" s="51"/>
      <c r="B8" s="46"/>
      <c r="C8" s="54"/>
      <c r="D8" s="55"/>
      <c r="E8" s="56"/>
      <c r="F8" s="194"/>
      <c r="G8" s="197"/>
      <c r="H8" s="196"/>
    </row>
    <row r="9" spans="1:12">
      <c r="A9" s="51"/>
      <c r="B9" s="52"/>
      <c r="C9" s="54"/>
      <c r="D9" s="57"/>
      <c r="E9" s="58"/>
      <c r="F9" s="59"/>
      <c r="G9" s="60"/>
      <c r="H9" s="193"/>
    </row>
    <row r="10" spans="1:12">
      <c r="A10" s="51"/>
      <c r="B10" s="46"/>
      <c r="C10" s="61"/>
      <c r="D10" s="62"/>
      <c r="E10" s="63"/>
      <c r="F10" s="64"/>
      <c r="G10" s="65"/>
      <c r="H10" s="194"/>
    </row>
    <row r="11" spans="1:12">
      <c r="A11" s="51"/>
      <c r="B11" s="46"/>
      <c r="C11" s="61"/>
      <c r="D11" s="66"/>
      <c r="E11" s="67"/>
      <c r="F11" s="64"/>
      <c r="G11" s="68"/>
      <c r="H11" s="69"/>
    </row>
    <row r="12" spans="1:12">
      <c r="A12" s="51"/>
      <c r="B12" s="46"/>
      <c r="C12" s="61"/>
      <c r="D12" s="62"/>
      <c r="E12" s="63"/>
      <c r="F12" s="70"/>
      <c r="G12" s="68"/>
      <c r="H12" s="71"/>
    </row>
    <row r="13" spans="1:12">
      <c r="A13" s="51"/>
      <c r="B13" s="46"/>
      <c r="C13" s="61"/>
      <c r="D13" s="62"/>
      <c r="E13" s="63"/>
      <c r="F13" s="70"/>
      <c r="G13" s="68"/>
      <c r="H13" s="72"/>
    </row>
    <row r="14" spans="1:12">
      <c r="A14" s="51"/>
      <c r="B14" s="46"/>
      <c r="C14" s="61"/>
      <c r="D14" s="62"/>
      <c r="E14" s="63"/>
      <c r="F14" s="70"/>
      <c r="G14" s="68"/>
      <c r="H14" s="72"/>
    </row>
    <row r="15" spans="1:12">
      <c r="A15" s="51"/>
      <c r="B15" s="46"/>
      <c r="C15" s="54"/>
      <c r="D15" s="62"/>
      <c r="E15" s="63"/>
      <c r="F15" s="70"/>
      <c r="G15" s="68"/>
      <c r="H15" s="72"/>
    </row>
    <row r="16" spans="1:12">
      <c r="A16" s="51"/>
      <c r="B16" s="46"/>
      <c r="C16" s="61"/>
      <c r="D16" s="62"/>
      <c r="E16" s="63"/>
      <c r="F16" s="70"/>
      <c r="G16" s="68"/>
      <c r="H16" s="72"/>
    </row>
    <row r="17" spans="1:8">
      <c r="A17" s="51"/>
      <c r="B17" s="46"/>
      <c r="C17" s="61"/>
      <c r="D17" s="62"/>
      <c r="E17" s="63"/>
      <c r="F17" s="70"/>
      <c r="G17" s="68"/>
      <c r="H17" s="72"/>
    </row>
    <row r="18" spans="1:8">
      <c r="A18" s="51"/>
      <c r="B18" s="46"/>
      <c r="C18" s="61"/>
      <c r="D18" s="62"/>
      <c r="E18" s="63"/>
      <c r="F18" s="70"/>
      <c r="G18" s="68"/>
      <c r="H18" s="72"/>
    </row>
    <row r="19" spans="1:8">
      <c r="A19" s="51"/>
      <c r="B19" s="46"/>
      <c r="C19" s="61"/>
      <c r="D19" s="62"/>
      <c r="E19" s="63"/>
      <c r="F19" s="70"/>
      <c r="G19" s="68"/>
      <c r="H19" s="72"/>
    </row>
    <row r="20" spans="1:8">
      <c r="A20" s="51"/>
      <c r="B20" s="46"/>
      <c r="C20" s="61"/>
      <c r="D20" s="62"/>
      <c r="E20" s="63"/>
      <c r="F20" s="70"/>
      <c r="G20" s="68"/>
      <c r="H20" s="72"/>
    </row>
    <row r="21" spans="1:8">
      <c r="A21" s="51"/>
      <c r="B21" s="46"/>
      <c r="C21" s="61"/>
      <c r="D21" s="62"/>
      <c r="E21" s="63"/>
      <c r="F21" s="70"/>
      <c r="G21" s="68"/>
      <c r="H21" s="72"/>
    </row>
    <row r="22" spans="1:8">
      <c r="A22" s="51"/>
      <c r="B22" s="46"/>
      <c r="C22" s="61"/>
      <c r="D22" s="62"/>
      <c r="E22" s="63"/>
      <c r="F22" s="70"/>
      <c r="G22" s="68"/>
      <c r="H22" s="72"/>
    </row>
    <row r="23" spans="1:8">
      <c r="A23" s="51"/>
      <c r="B23" s="46"/>
      <c r="C23" s="61"/>
      <c r="D23" s="62"/>
      <c r="E23" s="63"/>
      <c r="F23" s="70"/>
      <c r="G23" s="68"/>
      <c r="H23" s="72"/>
    </row>
    <row r="24" spans="1:8">
      <c r="A24" s="51"/>
      <c r="B24" s="46"/>
      <c r="C24" s="61"/>
      <c r="D24" s="62"/>
      <c r="E24" s="63"/>
      <c r="F24" s="70"/>
      <c r="G24" s="68"/>
      <c r="H24" s="72"/>
    </row>
    <row r="25" spans="1:8">
      <c r="A25" s="51"/>
      <c r="B25" s="46"/>
      <c r="C25" s="61"/>
      <c r="D25" s="62"/>
      <c r="E25" s="63"/>
      <c r="F25" s="70"/>
      <c r="G25" s="68"/>
      <c r="H25" s="72"/>
    </row>
    <row r="26" spans="1:8">
      <c r="A26" s="51"/>
      <c r="B26" s="46"/>
      <c r="C26" s="61"/>
      <c r="D26" s="62"/>
      <c r="E26" s="63"/>
      <c r="F26" s="70"/>
      <c r="G26" s="68"/>
      <c r="H26" s="72"/>
    </row>
    <row r="27" spans="1:8">
      <c r="A27" s="51"/>
      <c r="B27" s="46"/>
      <c r="C27" s="61"/>
      <c r="D27" s="62"/>
      <c r="E27" s="63"/>
      <c r="F27" s="70"/>
      <c r="G27" s="68"/>
      <c r="H27" s="72"/>
    </row>
    <row r="28" spans="1:8">
      <c r="A28" s="51"/>
      <c r="B28" s="46"/>
      <c r="C28" s="61"/>
      <c r="D28" s="62"/>
      <c r="E28" s="63"/>
      <c r="F28" s="70"/>
      <c r="G28" s="68"/>
      <c r="H28" s="72"/>
    </row>
    <row r="29" spans="1:8">
      <c r="A29" s="51"/>
      <c r="B29" s="46"/>
      <c r="C29" s="61"/>
      <c r="D29" s="62"/>
      <c r="E29" s="63"/>
      <c r="F29" s="70"/>
      <c r="G29" s="68"/>
      <c r="H29" s="72"/>
    </row>
    <row r="30" spans="1:8">
      <c r="A30" s="51"/>
      <c r="B30" s="46"/>
      <c r="C30" s="61"/>
      <c r="D30" s="62"/>
      <c r="E30" s="63"/>
      <c r="F30" s="70"/>
      <c r="G30" s="68"/>
      <c r="H30" s="72"/>
    </row>
    <row r="31" spans="1:8">
      <c r="A31" s="73"/>
      <c r="B31" s="74"/>
      <c r="C31" s="75"/>
      <c r="D31" s="76"/>
      <c r="E31" s="77"/>
      <c r="F31" s="78"/>
      <c r="G31" s="79"/>
      <c r="H31" s="80"/>
    </row>
  </sheetData>
  <mergeCells count="9">
    <mergeCell ref="B1:C1"/>
    <mergeCell ref="D1:E1"/>
    <mergeCell ref="K1:L1"/>
    <mergeCell ref="K2:L2"/>
    <mergeCell ref="B5:C6"/>
    <mergeCell ref="D5:E7"/>
    <mergeCell ref="F5:F8"/>
    <mergeCell ref="G5:G8"/>
    <mergeCell ref="H5:H10"/>
  </mergeCells>
  <pageMargins left="0.7" right="0.7" top="0.75" bottom="0.75" header="0.3" footer="0.3"/>
  <pageSetup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CAEE12CD7BF86A4499E4E0BE3375ADCE" ma:contentTypeVersion="3" ma:contentTypeDescription="Create a new document." ma:contentTypeScope="" ma:versionID="3c720b4e19aa7c586fd2c44abb19c242">
  <xsd:schema xmlns:xsd="http://www.w3.org/2001/XMLSchema" xmlns:xs="http://www.w3.org/2001/XMLSchema" xmlns:p="http://schemas.microsoft.com/office/2006/metadata/properties" xmlns:ns2="41034a63-fc3f-44c4-88a5-1f60a75968d9" targetNamespace="http://schemas.microsoft.com/office/2006/metadata/properties" ma:root="true" ma:fieldsID="c6960fa23fb0bb643f7bc0136f613a6a" ns2:_="">
    <xsd:import namespace="41034a63-fc3f-44c4-88a5-1f60a75968d9"/>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1034a63-fc3f-44c4-88a5-1f60a75968d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B0FE1A8-8A1B-46AC-B352-BC548EE4C8DC}"/>
</file>

<file path=customXml/itemProps2.xml><?xml version="1.0" encoding="utf-8"?>
<ds:datastoreItem xmlns:ds="http://schemas.openxmlformats.org/officeDocument/2006/customXml" ds:itemID="{1BEBAADD-DBBD-40E4-BACB-7F19AB41D68A}"/>
</file>

<file path=customXml/itemProps3.xml><?xml version="1.0" encoding="utf-8"?>
<ds:datastoreItem xmlns:ds="http://schemas.openxmlformats.org/officeDocument/2006/customXml" ds:itemID="{961224F5-70A0-4A3C-9C28-F58587ACC8D1}"/>
</file>

<file path=docProps/app.xml><?xml version="1.0" encoding="utf-8"?>
<Properties xmlns="http://schemas.openxmlformats.org/officeDocument/2006/extended-properties" xmlns:vt="http://schemas.openxmlformats.org/officeDocument/2006/docPropsVTypes">
  <Application>Microsoft Excel Online</Application>
  <Manager/>
  <Company>SAS Institute Inc</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sas user</dc:creator>
  <cp:keywords/>
  <dc:description/>
  <cp:lastModifiedBy>Juan R Delara</cp:lastModifiedBy>
  <cp:revision/>
  <dcterms:created xsi:type="dcterms:W3CDTF">2011-02-11T15:45:55Z</dcterms:created>
  <dcterms:modified xsi:type="dcterms:W3CDTF">2023-11-13T16:04:00Z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0x010100CAEE12CD7BF86A4499E4E0BE3375ADCE</vt:lpwstr>
  </property>
  <property fmtid="{D5CDD505-2E9C-101B-9397-08002B2CF9AE}" pid="3" name="_dlc_DocIdItemGuid">
    <vt:lpwstr>372d04d7-a929-4c24-bc59-9b749e4217b9</vt:lpwstr>
  </property>
</Properties>
</file>