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5556" windowWidth="23076" windowHeight="5580"/>
  </bookViews>
  <sheets>
    <sheet name="Comparison Table" sheetId="1" r:id="rId1"/>
    <sheet name="Stage Discharge" sheetId="2" r:id="rId2"/>
    <sheet name="With FEMA" sheetId="4" r:id="rId3"/>
    <sheet name="Proposed Velocities" sheetId="3" r:id="rId4"/>
  </sheets>
  <definedNames>
    <definedName name="_xlnm.Print_Area" localSheetId="0">'Comparison Table'!$A$1:$P$22</definedName>
    <definedName name="_xlnm.Print_Area" localSheetId="2">'With FEMA'!$A$1:$P$23</definedName>
  </definedNames>
  <calcPr calcId="145621"/>
</workbook>
</file>

<file path=xl/calcChain.xml><?xml version="1.0" encoding="utf-8"?>
<calcChain xmlns="http://schemas.openxmlformats.org/spreadsheetml/2006/main">
  <c r="H2" i="4" l="1"/>
  <c r="H3" i="4"/>
  <c r="H4" i="4"/>
  <c r="H5" i="4"/>
  <c r="H1" i="4"/>
  <c r="P11" i="1" l="1"/>
  <c r="D2" i="2" l="1"/>
  <c r="B2" i="2"/>
  <c r="O11" i="1" l="1"/>
  <c r="N11" i="1"/>
  <c r="E21" i="4" l="1"/>
  <c r="M12" i="4" l="1"/>
  <c r="P20" i="4"/>
  <c r="P14" i="4"/>
  <c r="P15" i="4"/>
  <c r="P16" i="4"/>
  <c r="P17" i="4"/>
  <c r="P18" i="4"/>
  <c r="P13" i="4"/>
  <c r="K21" i="4"/>
  <c r="J20" i="4"/>
  <c r="J14" i="4"/>
  <c r="J15" i="4"/>
  <c r="J16" i="4"/>
  <c r="J17" i="4"/>
  <c r="J18" i="4"/>
  <c r="J13" i="4"/>
  <c r="K12" i="4"/>
  <c r="P11" i="4"/>
  <c r="B4" i="4"/>
  <c r="B3" i="4"/>
  <c r="A4" i="4"/>
  <c r="A3" i="4"/>
  <c r="J11" i="4"/>
  <c r="G6" i="2"/>
  <c r="G7" i="2"/>
  <c r="G8" i="2"/>
  <c r="G9" i="2"/>
  <c r="G10" i="2"/>
  <c r="G11" i="2"/>
  <c r="G5" i="2"/>
  <c r="G4" i="2"/>
  <c r="A2" i="4"/>
  <c r="B2" i="4"/>
  <c r="H21" i="4"/>
  <c r="A20" i="4"/>
  <c r="B20" i="4"/>
  <c r="C20" i="4"/>
  <c r="D20" i="4"/>
  <c r="G20" i="4"/>
  <c r="M20" i="4"/>
  <c r="N20" i="4"/>
  <c r="O20" i="4"/>
  <c r="A10" i="4"/>
  <c r="C10" i="4"/>
  <c r="M10" i="4"/>
  <c r="C11" i="4"/>
  <c r="D11" i="4"/>
  <c r="F11" i="4"/>
  <c r="G11" i="4"/>
  <c r="I11" i="4"/>
  <c r="L11" i="4"/>
  <c r="M11" i="4"/>
  <c r="N11" i="4"/>
  <c r="O11" i="4"/>
  <c r="C12" i="4"/>
  <c r="D12" i="4"/>
  <c r="E12" i="4"/>
  <c r="G12" i="4"/>
  <c r="H12" i="4"/>
  <c r="J12" i="4"/>
  <c r="A13" i="4"/>
  <c r="B13" i="4"/>
  <c r="C13" i="4"/>
  <c r="D13" i="4"/>
  <c r="G13" i="4"/>
  <c r="M13" i="4"/>
  <c r="N13" i="4"/>
  <c r="O13" i="4"/>
  <c r="A14" i="4"/>
  <c r="B14" i="4"/>
  <c r="C14" i="4"/>
  <c r="D14" i="4"/>
  <c r="G14" i="4"/>
  <c r="M14" i="4"/>
  <c r="N14" i="4"/>
  <c r="O14" i="4"/>
  <c r="A15" i="4"/>
  <c r="B15" i="4"/>
  <c r="C15" i="4"/>
  <c r="D15" i="4"/>
  <c r="G15" i="4"/>
  <c r="M15" i="4"/>
  <c r="N15" i="4"/>
  <c r="O15" i="4"/>
  <c r="A16" i="4"/>
  <c r="B16" i="4"/>
  <c r="C16" i="4"/>
  <c r="D16" i="4"/>
  <c r="G16" i="4"/>
  <c r="M16" i="4"/>
  <c r="N16" i="4"/>
  <c r="O16" i="4"/>
  <c r="A17" i="4"/>
  <c r="B17" i="4"/>
  <c r="C17" i="4"/>
  <c r="D17" i="4"/>
  <c r="G17" i="4"/>
  <c r="M17" i="4"/>
  <c r="N17" i="4"/>
  <c r="O17" i="4"/>
  <c r="A18" i="4"/>
  <c r="B18" i="4"/>
  <c r="C18" i="4"/>
  <c r="D18" i="4"/>
  <c r="G18" i="4"/>
  <c r="M18" i="4"/>
  <c r="N18" i="4"/>
  <c r="O18" i="4"/>
  <c r="D9" i="4"/>
  <c r="L19" i="4" l="1"/>
  <c r="I19" i="4"/>
  <c r="F19" i="4"/>
  <c r="I19" i="1" l="1"/>
  <c r="I20" i="4" s="1"/>
  <c r="F19" i="1"/>
  <c r="F20" i="4" s="1"/>
  <c r="L14" i="1" l="1"/>
  <c r="L14" i="4" s="1"/>
  <c r="L15" i="1"/>
  <c r="L15" i="4" s="1"/>
  <c r="L16" i="1"/>
  <c r="L16" i="4" s="1"/>
  <c r="L17" i="1"/>
  <c r="L17" i="4" s="1"/>
  <c r="L18" i="1"/>
  <c r="L18" i="4" s="1"/>
  <c r="L19" i="1"/>
  <c r="L20" i="4" s="1"/>
  <c r="L13" i="1"/>
  <c r="L13" i="4" s="1"/>
  <c r="G9" i="3" l="1"/>
  <c r="J9" i="3"/>
  <c r="I9" i="3"/>
  <c r="H9" i="3"/>
  <c r="F9" i="3"/>
  <c r="J8" i="3"/>
  <c r="I8" i="3"/>
  <c r="H8" i="3"/>
  <c r="G8" i="3"/>
  <c r="F8" i="3"/>
  <c r="E8" i="3"/>
  <c r="D8" i="3"/>
  <c r="C8" i="3"/>
  <c r="B8" i="3"/>
  <c r="I7" i="3"/>
  <c r="F7" i="3"/>
  <c r="C7" i="3"/>
  <c r="B7" i="3"/>
  <c r="B6" i="3"/>
  <c r="B5" i="3"/>
  <c r="B4" i="3"/>
  <c r="B3" i="3"/>
  <c r="B2" i="3"/>
  <c r="E9" i="3" l="1"/>
  <c r="C9" i="3"/>
  <c r="C11" i="3" s="1"/>
  <c r="E21" i="1" s="1"/>
  <c r="J10" i="3"/>
  <c r="I10" i="3"/>
  <c r="H11" i="3"/>
  <c r="K22" i="1" s="1"/>
  <c r="G11" i="3"/>
  <c r="H22" i="1" s="1"/>
  <c r="F11" i="3"/>
  <c r="E22" i="1" s="1"/>
  <c r="D9" i="3"/>
  <c r="E4" i="2"/>
  <c r="C4" i="2"/>
  <c r="E11" i="2"/>
  <c r="C11" i="2"/>
  <c r="B11" i="2"/>
  <c r="A11" i="2"/>
  <c r="E10" i="2"/>
  <c r="C10" i="2"/>
  <c r="B10" i="2"/>
  <c r="A10" i="2"/>
  <c r="E9" i="2"/>
  <c r="C9" i="2"/>
  <c r="B9" i="2"/>
  <c r="A9" i="2"/>
  <c r="E8" i="2"/>
  <c r="C8" i="2"/>
  <c r="B8" i="2"/>
  <c r="A8" i="2"/>
  <c r="E7" i="2"/>
  <c r="C7" i="2"/>
  <c r="B7" i="2"/>
  <c r="A7" i="2"/>
  <c r="E6" i="2"/>
  <c r="C6" i="2"/>
  <c r="B6" i="2"/>
  <c r="A6" i="2"/>
  <c r="E5" i="2"/>
  <c r="C5" i="2"/>
  <c r="B5" i="2"/>
  <c r="A5" i="2"/>
  <c r="B1" i="2"/>
  <c r="K23" i="4" l="1"/>
  <c r="E11" i="3"/>
  <c r="K21" i="1" s="1"/>
  <c r="D11" i="3"/>
  <c r="H21" i="1" s="1"/>
  <c r="E22" i="4"/>
  <c r="H23" i="4"/>
  <c r="E23" i="4"/>
  <c r="K22" i="4" l="1"/>
  <c r="H22" i="4"/>
  <c r="F14" i="1"/>
  <c r="F14" i="4" s="1"/>
  <c r="F15" i="1"/>
  <c r="F15" i="4" s="1"/>
  <c r="F16" i="1"/>
  <c r="F16" i="4" s="1"/>
  <c r="F17" i="1"/>
  <c r="F17" i="4" s="1"/>
  <c r="F18" i="1"/>
  <c r="F18" i="4" s="1"/>
  <c r="F13" i="1"/>
  <c r="F13" i="4" s="1"/>
  <c r="I14" i="1"/>
  <c r="I14" i="4" s="1"/>
  <c r="I15" i="1"/>
  <c r="I15" i="4" s="1"/>
  <c r="I16" i="1"/>
  <c r="I16" i="4" s="1"/>
  <c r="I17" i="1"/>
  <c r="I17" i="4" s="1"/>
  <c r="I18" i="1"/>
  <c r="I18" i="4" s="1"/>
  <c r="I13" i="1"/>
  <c r="I13" i="4" s="1"/>
</calcChain>
</file>

<file path=xl/comments1.xml><?xml version="1.0" encoding="utf-8"?>
<comments xmlns="http://schemas.openxmlformats.org/spreadsheetml/2006/main">
  <authors>
    <author>OMES</author>
  </authors>
  <commentList>
    <comment ref="C11" authorId="0">
      <text>
        <r>
          <rPr>
            <b/>
            <sz val="9"/>
            <color indexed="81"/>
            <rFont val="Tahoma"/>
            <charset val="1"/>
          </rPr>
          <t>Alex Peta 
7-26-2018
Fix to #N/A and #DIV/0!</t>
        </r>
      </text>
    </comment>
    <comment ref="D11" authorId="0">
      <text>
        <r>
          <rPr>
            <b/>
            <sz val="9"/>
            <color indexed="81"/>
            <rFont val="Tahoma"/>
            <charset val="1"/>
          </rPr>
          <t>Alex Peta 
7-26-2018
Fix to #N/A and #DIV/0!</t>
        </r>
      </text>
    </comment>
    <comment ref="F11" authorId="0">
      <text>
        <r>
          <rPr>
            <b/>
            <sz val="9"/>
            <color indexed="81"/>
            <rFont val="Tahoma"/>
            <charset val="1"/>
          </rPr>
          <t>Alex Peta 
7-26-2018
Fix to #N/A and #DIV/0!</t>
        </r>
      </text>
    </comment>
    <comment ref="G11" authorId="0">
      <text>
        <r>
          <rPr>
            <b/>
            <sz val="9"/>
            <color indexed="81"/>
            <rFont val="Tahoma"/>
            <charset val="1"/>
          </rPr>
          <t>Alex Peta 
7-26-2018
Fix to #N/A and #DIV/0!</t>
        </r>
      </text>
    </comment>
  </commentList>
</comments>
</file>

<file path=xl/sharedStrings.xml><?xml version="1.0" encoding="utf-8"?>
<sst xmlns="http://schemas.openxmlformats.org/spreadsheetml/2006/main" count="103" uniqueCount="51">
  <si>
    <t>Open Channel</t>
  </si>
  <si>
    <t>Backwater</t>
  </si>
  <si>
    <t>Discharges (CFS)</t>
  </si>
  <si>
    <t>Computed Water Surface Elev. (FT)</t>
  </si>
  <si>
    <t>Velocity (FPS)</t>
  </si>
  <si>
    <t>Q2 =</t>
  </si>
  <si>
    <t>Q5 =</t>
  </si>
  <si>
    <t>Q10 =</t>
  </si>
  <si>
    <t>Q25 =</t>
  </si>
  <si>
    <t>Q50 =</t>
  </si>
  <si>
    <t>Q100 =</t>
  </si>
  <si>
    <t>Q500 =</t>
  </si>
  <si>
    <t>Overtopping Elev (ft) =</t>
  </si>
  <si>
    <t>JP#</t>
  </si>
  <si>
    <t>County</t>
  </si>
  <si>
    <t>Highway</t>
  </si>
  <si>
    <t>Crossing</t>
  </si>
  <si>
    <t>Overtopping Q (cfs) ≈</t>
  </si>
  <si>
    <t>Overtopping Freq (yr) ≈</t>
  </si>
  <si>
    <t>Comparison Table</t>
  </si>
  <si>
    <t xml:space="preserve"> USE EXCEL SPREADSHEET PROVIDED</t>
  </si>
  <si>
    <t>The following must be included:</t>
  </si>
  <si>
    <t>•</t>
  </si>
  <si>
    <t>Upper left hand corner date, initial and description of any revision made</t>
  </si>
  <si>
    <t>Description of existing and proposed structures - include # of spans or cells, span length and type of beam or cell height, total span bridge length, low beam elevation (spans), or inlet elevation(rcb).</t>
  </si>
  <si>
    <t xml:space="preserve">Provide hydraulic data (discharge, computed highwater elevations, and velocities) for 2, 5, 10, 25, 50, 100, 500 and the overtopping year frequencies for the natural, existing and proposed models and compute backwater.  The computed highwater elevations need to be taken from a control cross section.  </t>
  </si>
  <si>
    <t xml:space="preserve"> **The format has changed to a table that can use data cut and paste from HEC RAS  tables.</t>
  </si>
  <si>
    <t xml:space="preserve">NBIS # </t>
  </si>
  <si>
    <t xml:space="preserve">Center top include county, job piece number, highway, creek name, existing NBIS # </t>
  </si>
  <si>
    <t>With a multiple opening there is only ONE CHW for the group of structures</t>
  </si>
  <si>
    <t>Low Beam (ft)</t>
  </si>
  <si>
    <t>Flowline in (ft)</t>
  </si>
  <si>
    <t>Initials:</t>
  </si>
  <si>
    <t>Date:</t>
  </si>
  <si>
    <t>Q</t>
  </si>
  <si>
    <t>Discharge</t>
  </si>
  <si>
    <t>Natural</t>
  </si>
  <si>
    <t>over</t>
  </si>
  <si>
    <r>
      <t>NOTE:</t>
    </r>
    <r>
      <rPr>
        <sz val="12"/>
        <rFont val="Arial"/>
        <family val="2"/>
      </rPr>
      <t xml:space="preserve"> If Overtopping Freq (Yr) results in #N/A, then Yr &lt; 2 and if it results in #DIV/0!, then Yr =&gt; 500.</t>
    </r>
  </si>
  <si>
    <t>FEMA CHECK Q100</t>
  </si>
  <si>
    <t>Flowline In (ft)</t>
  </si>
  <si>
    <t>Project #</t>
  </si>
  <si>
    <t>Existing 40'-50'-40' Conc Girder Spans</t>
  </si>
  <si>
    <t>Proposed Alternative 60'-70'-60' PCB TIII Spans</t>
  </si>
  <si>
    <t>Proposed 20'x17' RCB Turned 6 Deg</t>
  </si>
  <si>
    <t>Any</t>
  </si>
  <si>
    <t>AJK</t>
  </si>
  <si>
    <t>12345(04)</t>
  </si>
  <si>
    <t>J1-2345(004)</t>
  </si>
  <si>
    <t>S.H. 18</t>
  </si>
  <si>
    <t>Wet Cr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</si>
</sst>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0"/>
      <name val="Arial"/>
    </font>
    <font>
      <sz val="8"/>
      <name val="Arial"/>
      <family val="2"/>
    </font>
    <font>
      <sz val="14"/>
      <name val="Arial"/>
      <family val="2"/>
    </font>
    <font>
      <sz val="12"/>
      <name val="Times New Roman"/>
      <family val="1"/>
    </font>
    <font>
      <sz val="8"/>
      <name val="Arial"/>
      <family val="2"/>
    </font>
    <font>
      <sz val="28"/>
      <name val="Arial"/>
      <family val="2"/>
    </font>
    <font>
      <sz val="18"/>
      <name val="Arial"/>
      <family val="2"/>
    </font>
    <font>
      <sz val="10"/>
      <name val="Arial"/>
      <family val="2"/>
    </font>
    <font>
      <b/>
      <sz val="12"/>
      <name val="Arial"/>
      <family val="2"/>
    </font>
    <font>
      <sz val="12"/>
      <name val="Arial"/>
      <family val="2"/>
    </font>
    <font>
      <b/>
      <sz val="9"/>
      <color indexed="81"/>
      <name val="Tahoma"/>
      <charset val="1"/>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Protection="1"/>
    <xf numFmtId="2" fontId="3" fillId="0" borderId="0" xfId="0" applyNumberFormat="1" applyFont="1" applyFill="1" applyBorder="1" applyAlignment="1" applyProtection="1">
      <alignment horizontal="right"/>
    </xf>
    <xf numFmtId="0" fontId="0" fillId="0" borderId="0" xfId="0" applyBorder="1" applyAlignment="1" applyProtection="1">
      <alignment horizontal="center" vertical="center" wrapText="1"/>
    </xf>
    <xf numFmtId="0" fontId="0" fillId="0" borderId="1" xfId="0" applyBorder="1" applyAlignment="1" applyProtection="1">
      <alignment horizontal="center" vertical="center" wrapText="1"/>
    </xf>
    <xf numFmtId="2" fontId="0" fillId="0" borderId="1" xfId="0" applyNumberForma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2" fontId="0" fillId="0" borderId="0" xfId="0" applyNumberFormat="1" applyBorder="1" applyAlignment="1" applyProtection="1">
      <alignment horizontal="center" vertical="center"/>
    </xf>
    <xf numFmtId="0" fontId="0" fillId="0" borderId="0" xfId="0" applyBorder="1" applyProtection="1"/>
    <xf numFmtId="1"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wrapText="1"/>
    </xf>
    <xf numFmtId="1" fontId="0" fillId="2" borderId="1" xfId="0" applyNumberFormat="1" applyFill="1" applyBorder="1" applyAlignment="1" applyProtection="1">
      <alignment horizontal="center" vertical="center" wrapText="1"/>
      <protection locked="0"/>
    </xf>
    <xf numFmtId="1" fontId="0" fillId="2" borderId="4" xfId="0" applyNumberFormat="1" applyFill="1" applyBorder="1" applyAlignment="1" applyProtection="1">
      <alignment horizontal="center" vertical="center" wrapText="1"/>
      <protection locked="0"/>
    </xf>
    <xf numFmtId="2" fontId="0" fillId="2" borderId="4"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5" fillId="0" borderId="0" xfId="0" applyFont="1" applyProtection="1"/>
    <xf numFmtId="0" fontId="6" fillId="0" borderId="0" xfId="0" applyFont="1" applyProtection="1"/>
    <xf numFmtId="0" fontId="0" fillId="2" borderId="0" xfId="0" applyFill="1" applyBorder="1" applyAlignment="1" applyProtection="1">
      <alignment horizontal="center" vertical="center" wrapText="1"/>
      <protection locked="0"/>
    </xf>
    <xf numFmtId="0" fontId="4" fillId="0" borderId="0" xfId="0" applyFont="1" applyFill="1" applyBorder="1" applyProtection="1"/>
    <xf numFmtId="0" fontId="4" fillId="0" borderId="0" xfId="0" applyFont="1" applyFill="1" applyBorder="1" applyAlignment="1" applyProtection="1">
      <alignment horizontal="left"/>
      <protection locked="0"/>
    </xf>
    <xf numFmtId="0" fontId="0" fillId="0" borderId="1" xfId="0" applyBorder="1" applyProtection="1"/>
    <xf numFmtId="0" fontId="0" fillId="3" borderId="1" xfId="0" applyFill="1" applyBorder="1" applyProtection="1"/>
    <xf numFmtId="0" fontId="1" fillId="0" borderId="1" xfId="0" applyFont="1" applyFill="1" applyBorder="1" applyAlignment="1" applyProtection="1">
      <alignment horizontal="left" vertical="center"/>
    </xf>
    <xf numFmtId="14" fontId="1" fillId="0" borderId="1" xfId="0" applyNumberFormat="1" applyFont="1" applyFill="1" applyBorder="1" applyAlignment="1" applyProtection="1">
      <alignment horizontal="left" vertical="center"/>
      <protection locked="0"/>
    </xf>
    <xf numFmtId="0" fontId="1" fillId="3" borderId="1" xfId="0" applyFont="1" applyFill="1" applyBorder="1" applyAlignment="1" applyProtection="1">
      <alignment vertical="center"/>
    </xf>
    <xf numFmtId="14" fontId="4" fillId="3" borderId="1" xfId="0" applyNumberFormat="1"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0" fontId="0" fillId="0" borderId="0" xfId="0" applyAlignment="1" applyProtection="1">
      <alignment horizontal="center"/>
    </xf>
    <xf numFmtId="0" fontId="0" fillId="4" borderId="1" xfId="0" applyFill="1" applyBorder="1" applyAlignment="1" applyProtection="1">
      <alignment horizontal="center"/>
    </xf>
    <xf numFmtId="0" fontId="7" fillId="0" borderId="0" xfId="0" applyFont="1"/>
    <xf numFmtId="0" fontId="0" fillId="0" borderId="1" xfId="0" applyBorder="1" applyAlignment="1">
      <alignment horizontal="center" shrinkToFit="1"/>
    </xf>
    <xf numFmtId="0" fontId="7" fillId="0" borderId="0" xfId="0" applyFont="1" applyAlignment="1">
      <alignment horizontal="right"/>
    </xf>
    <xf numFmtId="0" fontId="0" fillId="0" borderId="0" xfId="0" applyAlignment="1">
      <alignment horizontal="right"/>
    </xf>
    <xf numFmtId="0" fontId="0" fillId="5" borderId="6" xfId="0" applyFill="1" applyBorder="1" applyAlignment="1" applyProtection="1">
      <alignment horizontal="center"/>
    </xf>
    <xf numFmtId="0" fontId="0" fillId="5" borderId="7" xfId="0" applyFill="1" applyBorder="1" applyAlignment="1" applyProtection="1">
      <alignment horizontal="center"/>
    </xf>
    <xf numFmtId="1" fontId="0" fillId="0" borderId="0" xfId="0" applyNumberFormat="1" applyAlignment="1" applyProtection="1">
      <alignment horizontal="center"/>
    </xf>
    <xf numFmtId="0" fontId="0" fillId="0" borderId="0" xfId="0" applyAlignment="1">
      <alignment horizontal="center"/>
    </xf>
    <xf numFmtId="0" fontId="8" fillId="0" borderId="0" xfId="0" applyFont="1" applyProtection="1"/>
    <xf numFmtId="0" fontId="0" fillId="0" borderId="1" xfId="0" applyBorder="1" applyAlignment="1" applyProtection="1">
      <alignment horizontal="center" vertical="center" wrapText="1"/>
    </xf>
    <xf numFmtId="2"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wrapText="1"/>
    </xf>
    <xf numFmtId="0" fontId="0" fillId="0" borderId="1" xfId="0" applyBorder="1" applyAlignment="1" applyProtection="1">
      <alignment horizontal="center" vertical="center" wrapText="1"/>
    </xf>
    <xf numFmtId="0" fontId="0" fillId="2" borderId="1" xfId="0"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0" fontId="2" fillId="0" borderId="1" xfId="0" applyFont="1" applyBorder="1" applyAlignment="1" applyProtection="1">
      <alignment horizontal="center"/>
    </xf>
    <xf numFmtId="164" fontId="0" fillId="3" borderId="1" xfId="0" applyNumberFormat="1" applyFill="1" applyBorder="1" applyAlignment="1" applyProtection="1">
      <alignment horizontal="center"/>
    </xf>
    <xf numFmtId="0" fontId="2" fillId="2" borderId="6"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2" fontId="0" fillId="2" borderId="6" xfId="0" applyNumberFormat="1" applyFill="1" applyBorder="1" applyAlignment="1" applyProtection="1">
      <alignment horizontal="center" vertical="center" wrapText="1"/>
      <protection locked="0"/>
    </xf>
    <xf numFmtId="2" fontId="0" fillId="2" borderId="7"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7" xfId="0" applyBorder="1" applyAlignment="1" applyProtection="1">
      <alignment horizontal="center" vertical="center" wrapText="1"/>
    </xf>
    <xf numFmtId="0" fontId="7"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5" xfId="0" applyBorder="1" applyAlignment="1" applyProtection="1">
      <alignment horizontal="center" vertical="center" wrapText="1"/>
    </xf>
    <xf numFmtId="0" fontId="0" fillId="0" borderId="8" xfId="0" applyBorder="1" applyAlignment="1" applyProtection="1">
      <alignment horizontal="center"/>
    </xf>
    <xf numFmtId="0" fontId="0" fillId="0" borderId="7" xfId="0" applyBorder="1" applyAlignment="1" applyProtection="1">
      <alignment horizontal="center"/>
    </xf>
    <xf numFmtId="0" fontId="0" fillId="0" borderId="6" xfId="0" applyBorder="1" applyAlignment="1" applyProtection="1">
      <alignment horizontal="center"/>
    </xf>
  </cellXfs>
  <cellStyles count="1">
    <cellStyle name="Normal" xfId="0" builtinId="0"/>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'Stage Discharge'!$B$2:$D$2</c:f>
          <c:strCache>
            <c:ptCount val="1"/>
            <c:pt idx="0">
              <c:v>S.H. 18 over Wet Cr</c:v>
            </c:pt>
          </c:strCache>
        </c:strRef>
      </c:tx>
      <c:layout/>
      <c:overlay val="0"/>
      <c:txPr>
        <a:bodyPr/>
        <a:lstStyle/>
        <a:p>
          <a:pPr>
            <a:defRPr/>
          </a:pPr>
          <a:endParaRPr lang="en-US"/>
        </a:p>
      </c:txPr>
    </c:title>
    <c:autoTitleDeleted val="0"/>
    <c:plotArea>
      <c:layout/>
      <c:scatterChart>
        <c:scatterStyle val="lineMarker"/>
        <c:varyColors val="0"/>
        <c:ser>
          <c:idx val="0"/>
          <c:order val="0"/>
          <c:tx>
            <c:v>Natural</c:v>
          </c:tx>
          <c:xVal>
            <c:numRef>
              <c:f>'Comparison Table'!$B$13:$B$19</c:f>
              <c:numCache>
                <c:formatCode>0</c:formatCode>
                <c:ptCount val="7"/>
                <c:pt idx="0">
                  <c:v>397</c:v>
                </c:pt>
                <c:pt idx="1">
                  <c:v>830</c:v>
                </c:pt>
                <c:pt idx="2">
                  <c:v>1260</c:v>
                </c:pt>
                <c:pt idx="3">
                  <c:v>1980</c:v>
                </c:pt>
                <c:pt idx="4">
                  <c:v>2490</c:v>
                </c:pt>
                <c:pt idx="5">
                  <c:v>3140</c:v>
                </c:pt>
                <c:pt idx="6">
                  <c:v>4910</c:v>
                </c:pt>
              </c:numCache>
            </c:numRef>
          </c:xVal>
          <c:yVal>
            <c:numRef>
              <c:f>'Comparison Table'!$C$13:$C$19</c:f>
              <c:numCache>
                <c:formatCode>0.00</c:formatCode>
                <c:ptCount val="7"/>
                <c:pt idx="0">
                  <c:v>987.44</c:v>
                </c:pt>
                <c:pt idx="1">
                  <c:v>990.71</c:v>
                </c:pt>
                <c:pt idx="2">
                  <c:v>992.31</c:v>
                </c:pt>
                <c:pt idx="3">
                  <c:v>993.49</c:v>
                </c:pt>
                <c:pt idx="4">
                  <c:v>994.15</c:v>
                </c:pt>
                <c:pt idx="5">
                  <c:v>994.89</c:v>
                </c:pt>
                <c:pt idx="6">
                  <c:v>996.55</c:v>
                </c:pt>
              </c:numCache>
            </c:numRef>
          </c:yVal>
          <c:smooth val="0"/>
          <c:extLst xmlns:c16r2="http://schemas.microsoft.com/office/drawing/2015/06/chart">
            <c:ext xmlns:c16="http://schemas.microsoft.com/office/drawing/2014/chart" uri="{C3380CC4-5D6E-409C-BE32-E72D297353CC}">
              <c16:uniqueId val="{00000000-42E0-484F-9B72-9426967C3396}"/>
            </c:ext>
          </c:extLst>
        </c:ser>
        <c:ser>
          <c:idx val="1"/>
          <c:order val="1"/>
          <c:tx>
            <c:strRef>
              <c:f>'Comparison Table'!$D$11</c:f>
              <c:strCache>
                <c:ptCount val="1"/>
                <c:pt idx="0">
                  <c:v>Existing 40'-50'-40' Conc Girder Spans</c:v>
                </c:pt>
              </c:strCache>
            </c:strRef>
          </c:tx>
          <c:xVal>
            <c:numRef>
              <c:f>'Comparison Table'!$B$13:$B$19</c:f>
              <c:numCache>
                <c:formatCode>0</c:formatCode>
                <c:ptCount val="7"/>
                <c:pt idx="0">
                  <c:v>397</c:v>
                </c:pt>
                <c:pt idx="1">
                  <c:v>830</c:v>
                </c:pt>
                <c:pt idx="2">
                  <c:v>1260</c:v>
                </c:pt>
                <c:pt idx="3">
                  <c:v>1980</c:v>
                </c:pt>
                <c:pt idx="4">
                  <c:v>2490</c:v>
                </c:pt>
                <c:pt idx="5">
                  <c:v>3140</c:v>
                </c:pt>
                <c:pt idx="6">
                  <c:v>4910</c:v>
                </c:pt>
              </c:numCache>
            </c:numRef>
          </c:xVal>
          <c:yVal>
            <c:numRef>
              <c:f>'Comparison Table'!$D$13:$D$19</c:f>
              <c:numCache>
                <c:formatCode>0.00</c:formatCode>
                <c:ptCount val="7"/>
                <c:pt idx="0">
                  <c:v>987.5</c:v>
                </c:pt>
                <c:pt idx="1">
                  <c:v>990.77</c:v>
                </c:pt>
                <c:pt idx="2">
                  <c:v>992.42</c:v>
                </c:pt>
                <c:pt idx="3">
                  <c:v>993.73</c:v>
                </c:pt>
                <c:pt idx="4">
                  <c:v>994.48</c:v>
                </c:pt>
                <c:pt idx="5">
                  <c:v>995.33</c:v>
                </c:pt>
                <c:pt idx="6">
                  <c:v>997.31</c:v>
                </c:pt>
              </c:numCache>
            </c:numRef>
          </c:yVal>
          <c:smooth val="0"/>
          <c:extLst xmlns:c16r2="http://schemas.microsoft.com/office/drawing/2015/06/chart">
            <c:ext xmlns:c16="http://schemas.microsoft.com/office/drawing/2014/chart" uri="{C3380CC4-5D6E-409C-BE32-E72D297353CC}">
              <c16:uniqueId val="{00000001-42E0-484F-9B72-9426967C3396}"/>
            </c:ext>
          </c:extLst>
        </c:ser>
        <c:ser>
          <c:idx val="2"/>
          <c:order val="2"/>
          <c:tx>
            <c:strRef>
              <c:f>'Comparison Table'!$G$11</c:f>
              <c:strCache>
                <c:ptCount val="1"/>
                <c:pt idx="0">
                  <c:v>Proposed Alternative 60'-70'-60' PCB TIII Spans</c:v>
                </c:pt>
              </c:strCache>
            </c:strRef>
          </c:tx>
          <c:xVal>
            <c:numRef>
              <c:f>'Comparison Table'!$B$13:$B$19</c:f>
              <c:numCache>
                <c:formatCode>0</c:formatCode>
                <c:ptCount val="7"/>
                <c:pt idx="0">
                  <c:v>397</c:v>
                </c:pt>
                <c:pt idx="1">
                  <c:v>830</c:v>
                </c:pt>
                <c:pt idx="2">
                  <c:v>1260</c:v>
                </c:pt>
                <c:pt idx="3">
                  <c:v>1980</c:v>
                </c:pt>
                <c:pt idx="4">
                  <c:v>2490</c:v>
                </c:pt>
                <c:pt idx="5">
                  <c:v>3140</c:v>
                </c:pt>
                <c:pt idx="6">
                  <c:v>4910</c:v>
                </c:pt>
              </c:numCache>
            </c:numRef>
          </c:xVal>
          <c:yVal>
            <c:numRef>
              <c:f>'Comparison Table'!$G$13:$G$19</c:f>
              <c:numCache>
                <c:formatCode>0.00</c:formatCode>
                <c:ptCount val="7"/>
                <c:pt idx="0">
                  <c:v>987.1</c:v>
                </c:pt>
                <c:pt idx="1">
                  <c:v>990.34</c:v>
                </c:pt>
                <c:pt idx="2">
                  <c:v>992.22</c:v>
                </c:pt>
                <c:pt idx="3">
                  <c:v>993.8</c:v>
                </c:pt>
                <c:pt idx="4">
                  <c:v>994.85</c:v>
                </c:pt>
                <c:pt idx="5">
                  <c:v>996.24</c:v>
                </c:pt>
                <c:pt idx="6">
                  <c:v>1000.37</c:v>
                </c:pt>
              </c:numCache>
            </c:numRef>
          </c:yVal>
          <c:smooth val="0"/>
          <c:extLst xmlns:c16r2="http://schemas.microsoft.com/office/drawing/2015/06/chart">
            <c:ext xmlns:c16="http://schemas.microsoft.com/office/drawing/2014/chart" uri="{C3380CC4-5D6E-409C-BE32-E72D297353CC}">
              <c16:uniqueId val="{00000002-42E0-484F-9B72-9426967C3396}"/>
            </c:ext>
          </c:extLst>
        </c:ser>
        <c:ser>
          <c:idx val="3"/>
          <c:order val="3"/>
          <c:tx>
            <c:strRef>
              <c:f>'Comparison Table'!$J$11</c:f>
              <c:strCache>
                <c:ptCount val="1"/>
                <c:pt idx="0">
                  <c:v>Proposed 20'x17' RCB Turned 6 Deg</c:v>
                </c:pt>
              </c:strCache>
            </c:strRef>
          </c:tx>
          <c:xVal>
            <c:numRef>
              <c:f>'Comparison Table'!$B$13:$B$19</c:f>
              <c:numCache>
                <c:formatCode>0</c:formatCode>
                <c:ptCount val="7"/>
                <c:pt idx="0">
                  <c:v>397</c:v>
                </c:pt>
                <c:pt idx="1">
                  <c:v>830</c:v>
                </c:pt>
                <c:pt idx="2">
                  <c:v>1260</c:v>
                </c:pt>
                <c:pt idx="3">
                  <c:v>1980</c:v>
                </c:pt>
                <c:pt idx="4">
                  <c:v>2490</c:v>
                </c:pt>
                <c:pt idx="5">
                  <c:v>3140</c:v>
                </c:pt>
                <c:pt idx="6">
                  <c:v>4910</c:v>
                </c:pt>
              </c:numCache>
            </c:numRef>
          </c:xVal>
          <c:yVal>
            <c:numRef>
              <c:f>'Comparison Table'!$J$13:$J$19</c:f>
              <c:numCache>
                <c:formatCode>0.00</c:formatCode>
                <c:ptCount val="7"/>
                <c:pt idx="0">
                  <c:v>990.69</c:v>
                </c:pt>
                <c:pt idx="1">
                  <c:v>990.72</c:v>
                </c:pt>
                <c:pt idx="2">
                  <c:v>992.36</c:v>
                </c:pt>
                <c:pt idx="3">
                  <c:v>993.61</c:v>
                </c:pt>
                <c:pt idx="4">
                  <c:v>994.32</c:v>
                </c:pt>
                <c:pt idx="5">
                  <c:v>995.12</c:v>
                </c:pt>
                <c:pt idx="6">
                  <c:v>996.91</c:v>
                </c:pt>
              </c:numCache>
            </c:numRef>
          </c:yVal>
          <c:smooth val="0"/>
          <c:extLst xmlns:c16r2="http://schemas.microsoft.com/office/drawing/2015/06/chart">
            <c:ext xmlns:c16="http://schemas.microsoft.com/office/drawing/2014/chart" uri="{C3380CC4-5D6E-409C-BE32-E72D297353CC}">
              <c16:uniqueId val="{00000003-42E0-484F-9B72-9426967C3396}"/>
            </c:ext>
          </c:extLst>
        </c:ser>
        <c:dLbls>
          <c:showLegendKey val="0"/>
          <c:showVal val="0"/>
          <c:showCatName val="0"/>
          <c:showSerName val="0"/>
          <c:showPercent val="0"/>
          <c:showBubbleSize val="0"/>
        </c:dLbls>
        <c:axId val="47992832"/>
        <c:axId val="47994752"/>
      </c:scatterChart>
      <c:valAx>
        <c:axId val="47992832"/>
        <c:scaling>
          <c:orientation val="minMax"/>
        </c:scaling>
        <c:delete val="0"/>
        <c:axPos val="b"/>
        <c:title>
          <c:tx>
            <c:rich>
              <a:bodyPr/>
              <a:lstStyle/>
              <a:p>
                <a:pPr>
                  <a:defRPr/>
                </a:pPr>
                <a:r>
                  <a:rPr lang="en-US"/>
                  <a:t>Discharge</a:t>
                </a:r>
                <a:r>
                  <a:rPr lang="en-US" baseline="0"/>
                  <a:t> (cfs)</a:t>
                </a:r>
                <a:endParaRPr lang="en-US"/>
              </a:p>
            </c:rich>
          </c:tx>
          <c:layout/>
          <c:overlay val="0"/>
        </c:title>
        <c:numFmt formatCode="0" sourceLinked="1"/>
        <c:majorTickMark val="out"/>
        <c:minorTickMark val="none"/>
        <c:tickLblPos val="nextTo"/>
        <c:crossAx val="47994752"/>
        <c:crosses val="autoZero"/>
        <c:crossBetween val="midCat"/>
      </c:valAx>
      <c:valAx>
        <c:axId val="47994752"/>
        <c:scaling>
          <c:orientation val="minMax"/>
        </c:scaling>
        <c:delete val="0"/>
        <c:axPos val="l"/>
        <c:majorGridlines/>
        <c:title>
          <c:tx>
            <c:rich>
              <a:bodyPr rot="-5400000" vert="horz"/>
              <a:lstStyle/>
              <a:p>
                <a:pPr>
                  <a:defRPr/>
                </a:pPr>
                <a:r>
                  <a:rPr lang="en-US"/>
                  <a:t>Stage (ft)</a:t>
                </a:r>
              </a:p>
            </c:rich>
          </c:tx>
          <c:layout/>
          <c:overlay val="0"/>
        </c:title>
        <c:numFmt formatCode="0.00" sourceLinked="1"/>
        <c:majorTickMark val="out"/>
        <c:minorTickMark val="none"/>
        <c:tickLblPos val="nextTo"/>
        <c:crossAx val="47992832"/>
        <c:crosses val="autoZero"/>
        <c:crossBetween val="midCat"/>
      </c:valAx>
    </c:plotArea>
    <c:legend>
      <c:legendPos val="t"/>
      <c:layout/>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30480</xdr:rowOff>
    </xdr:from>
    <xdr:to>
      <xdr:col>9</xdr:col>
      <xdr:colOff>579120</xdr:colOff>
      <xdr:row>36</xdr:row>
      <xdr:rowOff>87284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400050</xdr:colOff>
      <xdr:row>9</xdr:row>
      <xdr:rowOff>200025</xdr:rowOff>
    </xdr:from>
    <xdr:to>
      <xdr:col>19</xdr:col>
      <xdr:colOff>247650</xdr:colOff>
      <xdr:row>13</xdr:row>
      <xdr:rowOff>114300</xdr:rowOff>
    </xdr:to>
    <xdr:sp macro="" textlink="">
      <xdr:nvSpPr>
        <xdr:cNvPr id="2" name="Rectangle 1"/>
        <xdr:cNvSpPr/>
      </xdr:nvSpPr>
      <xdr:spPr>
        <a:xfrm>
          <a:off x="12927330" y="1952625"/>
          <a:ext cx="1066800" cy="242125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zoomScale="80" zoomScaleNormal="80" workbookViewId="0"/>
  </sheetViews>
  <sheetFormatPr defaultColWidth="8.88671875" defaultRowHeight="13.2" x14ac:dyDescent="0.25"/>
  <cols>
    <col min="1" max="1" width="8.6640625" style="1" customWidth="1"/>
    <col min="2" max="2" width="13.88671875" style="1" customWidth="1"/>
    <col min="3" max="3" width="9" style="1" bestFit="1" customWidth="1"/>
    <col min="4" max="4" width="13.88671875" style="1" customWidth="1"/>
    <col min="5" max="5" width="13.33203125" style="1" customWidth="1"/>
    <col min="6" max="6" width="11.33203125" style="1" customWidth="1"/>
    <col min="7" max="7" width="13.88671875" style="1" customWidth="1"/>
    <col min="8" max="8" width="9.109375" style="1" customWidth="1"/>
    <col min="9" max="9" width="11.109375" style="1" customWidth="1"/>
    <col min="10" max="10" width="13.88671875" style="1" customWidth="1"/>
    <col min="11" max="11" width="13" style="1" customWidth="1"/>
    <col min="12" max="12" width="9.5546875" style="1" bestFit="1" customWidth="1"/>
    <col min="13" max="13" width="9.109375" style="1" customWidth="1"/>
    <col min="14" max="16" width="13.6640625" style="1" customWidth="1"/>
    <col min="17" max="18" width="8.88671875" style="1"/>
    <col min="19" max="19" width="9.33203125" style="1" bestFit="1" customWidth="1"/>
    <col min="20" max="20" width="18.44140625" style="1" bestFit="1" customWidth="1"/>
    <col min="21" max="22" width="20" style="1" bestFit="1" customWidth="1"/>
    <col min="23" max="23" width="18.44140625" style="1" bestFit="1" customWidth="1"/>
    <col min="24" max="28" width="20" style="1" bestFit="1" customWidth="1"/>
    <col min="29" max="16384" width="8.88671875" style="1"/>
  </cols>
  <sheetData>
    <row r="1" spans="1:26" ht="17.399999999999999" x14ac:dyDescent="0.3">
      <c r="A1" s="27" t="s">
        <v>32</v>
      </c>
      <c r="B1" s="28" t="s">
        <v>33</v>
      </c>
      <c r="C1" s="23"/>
      <c r="D1" s="23"/>
      <c r="F1" s="57" t="s">
        <v>14</v>
      </c>
      <c r="G1" s="57"/>
      <c r="H1" s="59" t="s">
        <v>45</v>
      </c>
      <c r="I1" s="60"/>
      <c r="J1" s="61"/>
      <c r="Z1" s="1" t="s">
        <v>40</v>
      </c>
    </row>
    <row r="2" spans="1:26" ht="17.399999999999999" x14ac:dyDescent="0.3">
      <c r="A2" s="29" t="s">
        <v>46</v>
      </c>
      <c r="B2" s="30">
        <v>43319</v>
      </c>
      <c r="C2" s="23"/>
      <c r="D2" s="23"/>
      <c r="F2" s="57" t="s">
        <v>13</v>
      </c>
      <c r="G2" s="57"/>
      <c r="H2" s="59" t="s">
        <v>47</v>
      </c>
      <c r="I2" s="60"/>
      <c r="J2" s="61"/>
      <c r="Z2" s="1" t="s">
        <v>30</v>
      </c>
    </row>
    <row r="3" spans="1:26" ht="17.399999999999999" x14ac:dyDescent="0.3">
      <c r="A3" s="29"/>
      <c r="B3" s="30"/>
      <c r="C3" s="24"/>
      <c r="D3" s="24"/>
      <c r="F3" s="57" t="s">
        <v>41</v>
      </c>
      <c r="G3" s="57"/>
      <c r="H3" s="59" t="s">
        <v>48</v>
      </c>
      <c r="I3" s="60"/>
      <c r="J3" s="61"/>
    </row>
    <row r="4" spans="1:26" ht="17.399999999999999" x14ac:dyDescent="0.3">
      <c r="A4" s="26"/>
      <c r="B4" s="30"/>
      <c r="F4" s="57" t="s">
        <v>15</v>
      </c>
      <c r="G4" s="57"/>
      <c r="H4" s="59" t="s">
        <v>49</v>
      </c>
      <c r="I4" s="60"/>
      <c r="J4" s="61"/>
    </row>
    <row r="5" spans="1:26" ht="17.399999999999999" x14ac:dyDescent="0.3">
      <c r="F5" s="57" t="s">
        <v>16</v>
      </c>
      <c r="G5" s="57"/>
      <c r="H5" s="59" t="s">
        <v>50</v>
      </c>
      <c r="I5" s="60"/>
      <c r="J5" s="61"/>
      <c r="L5" s="2"/>
    </row>
    <row r="9" spans="1:26" x14ac:dyDescent="0.25">
      <c r="C9" s="25" t="s">
        <v>27</v>
      </c>
      <c r="D9" s="58">
        <v>1234</v>
      </c>
      <c r="E9" s="58"/>
    </row>
    <row r="10" spans="1:26" ht="52.95" customHeight="1" x14ac:dyDescent="0.25">
      <c r="A10" s="64" t="s">
        <v>2</v>
      </c>
      <c r="B10" s="64"/>
      <c r="C10" s="65" t="s">
        <v>3</v>
      </c>
      <c r="D10" s="66"/>
      <c r="E10" s="66"/>
      <c r="F10" s="66"/>
      <c r="G10" s="66"/>
      <c r="H10" s="66"/>
      <c r="I10" s="66"/>
      <c r="J10" s="66"/>
      <c r="K10" s="66"/>
      <c r="L10" s="67"/>
      <c r="M10" s="64" t="s">
        <v>4</v>
      </c>
      <c r="N10" s="64"/>
      <c r="O10" s="64"/>
      <c r="P10" s="64"/>
    </row>
    <row r="11" spans="1:26" ht="105" customHeight="1" x14ac:dyDescent="0.25">
      <c r="A11" s="64"/>
      <c r="B11" s="64"/>
      <c r="C11" s="4" t="s">
        <v>0</v>
      </c>
      <c r="D11" s="68" t="s">
        <v>42</v>
      </c>
      <c r="E11" s="69"/>
      <c r="F11" s="64" t="s">
        <v>1</v>
      </c>
      <c r="G11" s="70" t="s">
        <v>43</v>
      </c>
      <c r="H11" s="71"/>
      <c r="I11" s="64" t="s">
        <v>1</v>
      </c>
      <c r="J11" s="70" t="s">
        <v>44</v>
      </c>
      <c r="K11" s="71"/>
      <c r="L11" s="64" t="s">
        <v>1</v>
      </c>
      <c r="M11" s="4" t="s">
        <v>0</v>
      </c>
      <c r="N11" s="48" t="str">
        <f>D11</f>
        <v>Existing 40'-50'-40' Conc Girder Spans</v>
      </c>
      <c r="O11" s="50" t="str">
        <f>G11</f>
        <v>Proposed Alternative 60'-70'-60' PCB TIII Spans</v>
      </c>
      <c r="P11" s="16" t="str">
        <f>IF(ISBLANK($J$11),"",J11)</f>
        <v>Proposed 20'x17' RCB Turned 6 Deg</v>
      </c>
    </row>
    <row r="12" spans="1:26" ht="26.4" customHeight="1" x14ac:dyDescent="0.25">
      <c r="A12" s="64"/>
      <c r="B12" s="64"/>
      <c r="C12" s="4"/>
      <c r="D12" s="4" t="s">
        <v>30</v>
      </c>
      <c r="E12" s="17">
        <v>1004.4</v>
      </c>
      <c r="F12" s="64"/>
      <c r="G12" s="52" t="s">
        <v>30</v>
      </c>
      <c r="H12" s="17">
        <v>1005</v>
      </c>
      <c r="I12" s="64"/>
      <c r="J12" s="52" t="s">
        <v>40</v>
      </c>
      <c r="K12" s="17">
        <v>1003.91</v>
      </c>
      <c r="L12" s="64"/>
      <c r="M12" s="64"/>
      <c r="N12" s="64"/>
      <c r="O12" s="64"/>
      <c r="P12" s="64"/>
    </row>
    <row r="13" spans="1:26" x14ac:dyDescent="0.25">
      <c r="A13" s="4" t="s">
        <v>5</v>
      </c>
      <c r="B13" s="13">
        <v>397</v>
      </c>
      <c r="C13" s="54">
        <v>987.44</v>
      </c>
      <c r="D13" s="56">
        <v>987.5</v>
      </c>
      <c r="E13" s="56"/>
      <c r="F13" s="5">
        <f t="shared" ref="F13:F19" si="0">D13-C13</f>
        <v>5.999999999994543E-2</v>
      </c>
      <c r="G13" s="56">
        <v>987.1</v>
      </c>
      <c r="H13" s="56"/>
      <c r="I13" s="5">
        <f t="shared" ref="I13:I19" si="1">G13-C13</f>
        <v>-0.34000000000003183</v>
      </c>
      <c r="J13" s="62">
        <v>990.69</v>
      </c>
      <c r="K13" s="63"/>
      <c r="L13" s="5">
        <f t="shared" ref="L13:L19" si="2">IF(ISBLANK(J13),"",J13-C13)</f>
        <v>3.25</v>
      </c>
      <c r="M13" s="54">
        <v>4.43</v>
      </c>
      <c r="N13" s="54">
        <v>4.12</v>
      </c>
      <c r="O13" s="55">
        <v>2.66</v>
      </c>
      <c r="P13" s="55">
        <v>4.03</v>
      </c>
    </row>
    <row r="14" spans="1:26" ht="13.2" customHeight="1" x14ac:dyDescent="0.25">
      <c r="A14" s="4" t="s">
        <v>6</v>
      </c>
      <c r="B14" s="13">
        <v>830</v>
      </c>
      <c r="C14" s="54">
        <v>990.71</v>
      </c>
      <c r="D14" s="56">
        <v>990.77</v>
      </c>
      <c r="E14" s="56"/>
      <c r="F14" s="5">
        <f t="shared" si="0"/>
        <v>5.999999999994543E-2</v>
      </c>
      <c r="G14" s="56">
        <v>990.34</v>
      </c>
      <c r="H14" s="56"/>
      <c r="I14" s="5">
        <f t="shared" si="1"/>
        <v>-0.37000000000000455</v>
      </c>
      <c r="J14" s="62">
        <v>990.72</v>
      </c>
      <c r="K14" s="63"/>
      <c r="L14" s="5">
        <f t="shared" si="2"/>
        <v>9.9999999999909051E-3</v>
      </c>
      <c r="M14" s="54">
        <v>4.29</v>
      </c>
      <c r="N14" s="54">
        <v>4.22</v>
      </c>
      <c r="O14" s="55">
        <v>3.87</v>
      </c>
      <c r="P14" s="55">
        <v>3.99</v>
      </c>
    </row>
    <row r="15" spans="1:26" x14ac:dyDescent="0.25">
      <c r="A15" s="4" t="s">
        <v>7</v>
      </c>
      <c r="B15" s="13">
        <v>1260</v>
      </c>
      <c r="C15" s="54">
        <v>992.31</v>
      </c>
      <c r="D15" s="56">
        <v>992.42</v>
      </c>
      <c r="E15" s="56"/>
      <c r="F15" s="5">
        <f t="shared" si="0"/>
        <v>0.11000000000001364</v>
      </c>
      <c r="G15" s="56">
        <v>992.22</v>
      </c>
      <c r="H15" s="56"/>
      <c r="I15" s="5">
        <f t="shared" si="1"/>
        <v>-8.9999999999918145E-2</v>
      </c>
      <c r="J15" s="62">
        <v>992.36</v>
      </c>
      <c r="K15" s="63"/>
      <c r="L15" s="5">
        <f t="shared" si="2"/>
        <v>5.0000000000068212E-2</v>
      </c>
      <c r="M15" s="54">
        <v>4.04</v>
      </c>
      <c r="N15" s="54">
        <v>4.2699999999999996</v>
      </c>
      <c r="O15" s="55">
        <v>5.0599999999999996</v>
      </c>
      <c r="P15" s="55">
        <v>3.91</v>
      </c>
    </row>
    <row r="16" spans="1:26" x14ac:dyDescent="0.25">
      <c r="A16" s="4" t="s">
        <v>8</v>
      </c>
      <c r="B16" s="13">
        <v>1980</v>
      </c>
      <c r="C16" s="54">
        <v>993.49</v>
      </c>
      <c r="D16" s="56">
        <v>993.73</v>
      </c>
      <c r="E16" s="56"/>
      <c r="F16" s="5">
        <f t="shared" si="0"/>
        <v>0.24000000000000909</v>
      </c>
      <c r="G16" s="56">
        <v>993.8</v>
      </c>
      <c r="H16" s="56"/>
      <c r="I16" s="5">
        <f t="shared" si="1"/>
        <v>0.30999999999994543</v>
      </c>
      <c r="J16" s="62">
        <v>993.61</v>
      </c>
      <c r="K16" s="63"/>
      <c r="L16" s="5">
        <f t="shared" si="2"/>
        <v>0.12000000000000455</v>
      </c>
      <c r="M16" s="54">
        <v>5.03</v>
      </c>
      <c r="N16" s="54">
        <v>5.44</v>
      </c>
      <c r="O16" s="55">
        <v>7.37</v>
      </c>
      <c r="P16" s="55">
        <v>4.88</v>
      </c>
    </row>
    <row r="17" spans="1:24" x14ac:dyDescent="0.25">
      <c r="A17" s="4" t="s">
        <v>9</v>
      </c>
      <c r="B17" s="13">
        <v>2490</v>
      </c>
      <c r="C17" s="54">
        <v>994.15</v>
      </c>
      <c r="D17" s="56">
        <v>994.48</v>
      </c>
      <c r="E17" s="56"/>
      <c r="F17" s="5">
        <f t="shared" si="0"/>
        <v>0.33000000000004093</v>
      </c>
      <c r="G17" s="56">
        <v>994.85</v>
      </c>
      <c r="H17" s="56"/>
      <c r="I17" s="5">
        <f t="shared" si="1"/>
        <v>0.70000000000004547</v>
      </c>
      <c r="J17" s="62">
        <v>994.32</v>
      </c>
      <c r="K17" s="63"/>
      <c r="L17" s="5">
        <f t="shared" si="2"/>
        <v>0.17000000000007276</v>
      </c>
      <c r="M17" s="54">
        <v>5.67</v>
      </c>
      <c r="N17" s="54">
        <v>6.18</v>
      </c>
      <c r="O17" s="55">
        <v>8.92</v>
      </c>
      <c r="P17" s="55">
        <v>5.48</v>
      </c>
    </row>
    <row r="18" spans="1:24" x14ac:dyDescent="0.25">
      <c r="A18" s="4" t="s">
        <v>10</v>
      </c>
      <c r="B18" s="13">
        <v>3140</v>
      </c>
      <c r="C18" s="54">
        <v>994.89</v>
      </c>
      <c r="D18" s="56">
        <v>995.33</v>
      </c>
      <c r="E18" s="56"/>
      <c r="F18" s="5">
        <f t="shared" si="0"/>
        <v>0.44000000000005457</v>
      </c>
      <c r="G18" s="56">
        <v>996.24</v>
      </c>
      <c r="H18" s="56"/>
      <c r="I18" s="5">
        <f t="shared" si="1"/>
        <v>1.3500000000000227</v>
      </c>
      <c r="J18" s="62">
        <v>995.12</v>
      </c>
      <c r="K18" s="63"/>
      <c r="L18" s="5">
        <f t="shared" si="2"/>
        <v>0.23000000000001819</v>
      </c>
      <c r="M18" s="54">
        <v>6.37</v>
      </c>
      <c r="N18" s="54">
        <v>7</v>
      </c>
      <c r="O18" s="55">
        <v>10.79</v>
      </c>
      <c r="P18" s="55">
        <v>6.12</v>
      </c>
    </row>
    <row r="19" spans="1:24" x14ac:dyDescent="0.25">
      <c r="A19" s="4" t="s">
        <v>11</v>
      </c>
      <c r="B19" s="14">
        <v>4910</v>
      </c>
      <c r="C19" s="15">
        <v>996.55</v>
      </c>
      <c r="D19" s="56">
        <v>997.31</v>
      </c>
      <c r="E19" s="56"/>
      <c r="F19" s="5">
        <f t="shared" si="0"/>
        <v>0.75999999999999091</v>
      </c>
      <c r="G19" s="56">
        <v>1000.37</v>
      </c>
      <c r="H19" s="56"/>
      <c r="I19" s="5">
        <f t="shared" si="1"/>
        <v>3.82000000000005</v>
      </c>
      <c r="J19" s="62">
        <v>996.91</v>
      </c>
      <c r="K19" s="63"/>
      <c r="L19" s="5">
        <f t="shared" si="2"/>
        <v>0.36000000000001364</v>
      </c>
      <c r="M19" s="54">
        <v>7.87</v>
      </c>
      <c r="N19" s="54">
        <v>8.82</v>
      </c>
      <c r="O19" s="55">
        <v>15.42</v>
      </c>
      <c r="P19" s="55">
        <v>7.47</v>
      </c>
    </row>
    <row r="20" spans="1:24" ht="26.4" x14ac:dyDescent="0.25">
      <c r="A20" s="9"/>
      <c r="B20" s="6"/>
      <c r="C20" s="7"/>
      <c r="D20" s="4" t="s">
        <v>12</v>
      </c>
      <c r="E20" s="17">
        <v>1004.48</v>
      </c>
      <c r="F20" s="8"/>
      <c r="G20" s="4" t="s">
        <v>12</v>
      </c>
      <c r="H20" s="17">
        <v>994</v>
      </c>
      <c r="I20" s="7"/>
      <c r="J20" s="4" t="s">
        <v>12</v>
      </c>
      <c r="K20" s="17">
        <v>990</v>
      </c>
      <c r="L20" s="3"/>
      <c r="M20" s="3"/>
      <c r="N20" s="3"/>
      <c r="O20" s="3"/>
      <c r="P20" s="3"/>
    </row>
    <row r="21" spans="1:24" ht="26.4" x14ac:dyDescent="0.25">
      <c r="A21" s="3"/>
      <c r="B21" s="9"/>
      <c r="C21" s="9"/>
      <c r="D21" s="4" t="s">
        <v>17</v>
      </c>
      <c r="E21" s="18" t="str">
        <f ca="1">IF(ISNUMBER('Proposed Velocities'!C9),ROUND('Proposed Velocities'!C9,0),'Proposed Velocities'!C11)</f>
        <v>&gt;= 4910</v>
      </c>
      <c r="F21" s="10"/>
      <c r="G21" s="4" t="s">
        <v>17</v>
      </c>
      <c r="H21" s="13">
        <f ca="1">IF(ISNUMBER('Proposed Velocities'!D9),ROUND('Proposed Velocities'!D9,0),'Proposed Velocities'!D11)</f>
        <v>2077</v>
      </c>
      <c r="I21" s="11"/>
      <c r="J21" s="4" t="s">
        <v>17</v>
      </c>
      <c r="K21" s="18" t="str">
        <f ca="1">IF(ISBLANK($J$11),"",IF(ISNUMBER('Proposed Velocities'!E9),ROUND('Proposed Velocities'!E9,0),'Proposed Velocities'!E11))</f>
        <v>&lt; 397</v>
      </c>
      <c r="L21" s="3"/>
      <c r="M21" s="3"/>
      <c r="N21" s="3"/>
      <c r="O21" s="3"/>
      <c r="P21" s="3"/>
    </row>
    <row r="22" spans="1:24" ht="26.4" x14ac:dyDescent="0.25">
      <c r="A22" s="9"/>
      <c r="B22" s="9"/>
      <c r="C22" s="3"/>
      <c r="D22" s="4" t="s">
        <v>18</v>
      </c>
      <c r="E22" s="19" t="str">
        <f ca="1">IF(ISNUMBER('Proposed Velocities'!F9),ROUND('Proposed Velocities'!F9,0),'Proposed Velocities'!F11)</f>
        <v>&gt;= 500</v>
      </c>
      <c r="F22" s="11"/>
      <c r="G22" s="4" t="s">
        <v>18</v>
      </c>
      <c r="H22" s="16">
        <f ca="1">IF(ISNUMBER('Proposed Velocities'!G9),ROUND('Proposed Velocities'!G9,0),'Proposed Velocities'!G11)</f>
        <v>30</v>
      </c>
      <c r="I22" s="3"/>
      <c r="J22" s="4" t="s">
        <v>18</v>
      </c>
      <c r="K22" s="53" t="str">
        <f ca="1">IF(ISBLANK($J$11),"",IF(ISNUMBER('Proposed Velocities'!H9),ROUND('Proposed Velocities'!H9,0),'Proposed Velocities'!H11))</f>
        <v>&lt; 2</v>
      </c>
      <c r="L22" s="3"/>
      <c r="M22" s="3"/>
      <c r="N22" s="3"/>
      <c r="O22" s="3"/>
      <c r="P22" s="3"/>
    </row>
    <row r="23" spans="1:24" x14ac:dyDescent="0.25">
      <c r="C23" s="12"/>
      <c r="D23" s="12"/>
      <c r="E23" s="12"/>
      <c r="F23" s="12"/>
      <c r="G23" s="12"/>
      <c r="H23" s="12"/>
      <c r="I23" s="12"/>
      <c r="J23" s="12"/>
      <c r="K23" s="12"/>
      <c r="L23" s="12"/>
      <c r="M23" s="12"/>
      <c r="N23" s="12"/>
      <c r="O23" s="12"/>
      <c r="P23" s="12"/>
    </row>
    <row r="24" spans="1:24" ht="15.6" x14ac:dyDescent="0.3">
      <c r="A24" s="43"/>
    </row>
    <row r="28" spans="1:24" ht="34.799999999999997" x14ac:dyDescent="0.55000000000000004">
      <c r="B28" s="20" t="s">
        <v>19</v>
      </c>
      <c r="C28" s="20"/>
      <c r="D28" s="20"/>
      <c r="E28" s="20"/>
      <c r="F28" s="20"/>
      <c r="G28" s="20"/>
      <c r="H28" s="20"/>
      <c r="I28" s="20"/>
      <c r="J28" s="20"/>
      <c r="K28" s="20"/>
      <c r="L28" s="20"/>
      <c r="M28" s="20"/>
      <c r="N28" s="20"/>
      <c r="O28" s="20"/>
      <c r="P28" s="20"/>
      <c r="Q28" s="20"/>
      <c r="R28" s="20"/>
      <c r="S28" s="20"/>
      <c r="T28" s="20"/>
      <c r="U28" s="20"/>
      <c r="V28" s="20"/>
      <c r="W28" s="20"/>
      <c r="X28" s="20"/>
    </row>
    <row r="29" spans="1:24" ht="34.799999999999997" x14ac:dyDescent="0.55000000000000004">
      <c r="B29" s="20"/>
      <c r="C29" s="20"/>
      <c r="D29" s="20" t="s">
        <v>20</v>
      </c>
      <c r="E29" s="20"/>
      <c r="F29" s="20"/>
      <c r="G29" s="20"/>
      <c r="H29" s="20"/>
      <c r="I29" s="20"/>
      <c r="J29" s="20"/>
      <c r="K29" s="20"/>
      <c r="L29" s="20"/>
      <c r="M29" s="20"/>
      <c r="N29" s="20"/>
      <c r="O29" s="20"/>
      <c r="P29" s="20"/>
      <c r="Q29" s="20"/>
      <c r="R29" s="20"/>
      <c r="S29" s="20"/>
      <c r="T29" s="20"/>
      <c r="U29" s="20"/>
      <c r="V29" s="20"/>
      <c r="W29" s="20"/>
      <c r="X29" s="20"/>
    </row>
    <row r="30" spans="1:24" ht="34.799999999999997" x14ac:dyDescent="0.55000000000000004">
      <c r="B30" s="20"/>
      <c r="C30" s="20"/>
      <c r="D30" s="20" t="s">
        <v>21</v>
      </c>
      <c r="E30" s="20"/>
      <c r="F30" s="20"/>
      <c r="G30" s="20"/>
      <c r="H30" s="20"/>
      <c r="I30" s="20"/>
      <c r="J30" s="20"/>
      <c r="K30" s="20"/>
      <c r="L30" s="20"/>
      <c r="M30" s="20"/>
      <c r="N30" s="20"/>
      <c r="O30" s="20"/>
      <c r="P30" s="20"/>
      <c r="Q30" s="20"/>
      <c r="R30" s="20"/>
      <c r="S30" s="20"/>
      <c r="T30" s="20"/>
      <c r="U30" s="20"/>
      <c r="V30" s="20"/>
      <c r="W30" s="20"/>
      <c r="X30" s="20"/>
    </row>
    <row r="31" spans="1:24" ht="34.799999999999997" x14ac:dyDescent="0.55000000000000004">
      <c r="B31" s="20" t="s">
        <v>22</v>
      </c>
      <c r="C31" s="20"/>
      <c r="D31" s="20"/>
      <c r="E31" s="20" t="s">
        <v>23</v>
      </c>
      <c r="F31" s="20"/>
      <c r="G31" s="20"/>
      <c r="H31" s="20"/>
      <c r="I31" s="20"/>
      <c r="J31" s="20"/>
      <c r="K31" s="20"/>
      <c r="L31" s="20"/>
      <c r="M31" s="20"/>
      <c r="N31" s="20"/>
      <c r="O31" s="20"/>
      <c r="P31" s="20"/>
      <c r="Q31" s="20"/>
      <c r="R31" s="20"/>
      <c r="S31" s="20"/>
      <c r="T31" s="20"/>
      <c r="U31" s="20"/>
      <c r="V31" s="20"/>
      <c r="W31" s="20"/>
      <c r="X31" s="20"/>
    </row>
    <row r="32" spans="1:24" ht="34.799999999999997" x14ac:dyDescent="0.55000000000000004">
      <c r="B32" s="20"/>
      <c r="C32" s="20"/>
      <c r="D32" s="20" t="s">
        <v>22</v>
      </c>
      <c r="E32" s="20" t="s">
        <v>28</v>
      </c>
      <c r="F32" s="20"/>
      <c r="G32" s="20"/>
      <c r="H32" s="20"/>
      <c r="I32" s="20"/>
      <c r="J32" s="20"/>
      <c r="K32" s="20"/>
      <c r="L32" s="20"/>
      <c r="M32" s="20"/>
      <c r="N32" s="20"/>
      <c r="O32" s="20"/>
      <c r="P32" s="20"/>
      <c r="Q32" s="20"/>
      <c r="R32" s="20"/>
      <c r="S32" s="20"/>
      <c r="T32" s="20"/>
      <c r="U32" s="20"/>
      <c r="V32" s="20"/>
      <c r="W32" s="20"/>
      <c r="X32" s="20"/>
    </row>
    <row r="33" spans="2:24" ht="34.799999999999997" x14ac:dyDescent="0.55000000000000004">
      <c r="B33" s="20"/>
      <c r="C33" s="20"/>
      <c r="D33" s="20" t="s">
        <v>22</v>
      </c>
      <c r="E33" s="20" t="s">
        <v>24</v>
      </c>
      <c r="F33" s="20"/>
      <c r="G33" s="20"/>
      <c r="H33" s="20"/>
      <c r="I33" s="20"/>
      <c r="J33" s="20"/>
      <c r="K33" s="20"/>
      <c r="L33" s="20"/>
      <c r="M33" s="20"/>
      <c r="N33" s="20"/>
      <c r="O33" s="20"/>
      <c r="P33" s="20"/>
      <c r="Q33" s="20"/>
      <c r="R33" s="20"/>
      <c r="S33" s="20"/>
      <c r="T33" s="20"/>
      <c r="U33" s="20"/>
      <c r="V33" s="20"/>
      <c r="W33" s="20"/>
      <c r="X33" s="20"/>
    </row>
    <row r="34" spans="2:24" ht="34.799999999999997" x14ac:dyDescent="0.55000000000000004">
      <c r="B34" s="20"/>
      <c r="C34" s="20"/>
      <c r="D34" s="20" t="s">
        <v>22</v>
      </c>
      <c r="E34" s="20" t="s">
        <v>25</v>
      </c>
      <c r="F34" s="20"/>
      <c r="G34" s="20"/>
      <c r="H34" s="20"/>
      <c r="I34" s="20"/>
      <c r="J34" s="20"/>
      <c r="K34" s="20"/>
      <c r="L34" s="20"/>
      <c r="M34" s="20"/>
      <c r="N34" s="20"/>
      <c r="O34" s="20"/>
      <c r="P34" s="20"/>
      <c r="Q34" s="20"/>
      <c r="R34" s="20"/>
      <c r="S34" s="20"/>
      <c r="T34" s="20"/>
      <c r="U34" s="20"/>
      <c r="V34" s="20"/>
      <c r="W34" s="20"/>
      <c r="X34" s="20"/>
    </row>
    <row r="35" spans="2:24" ht="34.799999999999997" x14ac:dyDescent="0.55000000000000004">
      <c r="B35" s="20"/>
      <c r="C35" s="20"/>
      <c r="D35" s="20" t="s">
        <v>22</v>
      </c>
      <c r="E35" s="20" t="s">
        <v>26</v>
      </c>
      <c r="F35" s="20"/>
      <c r="G35" s="20"/>
      <c r="H35" s="20"/>
      <c r="I35" s="20"/>
      <c r="J35" s="20"/>
      <c r="K35" s="20"/>
      <c r="L35" s="20"/>
      <c r="M35" s="20"/>
      <c r="N35" s="20"/>
      <c r="O35" s="20"/>
      <c r="P35" s="20"/>
      <c r="Q35" s="20"/>
      <c r="R35" s="20"/>
      <c r="S35" s="20"/>
      <c r="T35" s="20"/>
      <c r="U35" s="20"/>
      <c r="V35" s="20"/>
      <c r="W35" s="20"/>
      <c r="X35" s="20"/>
    </row>
    <row r="36" spans="2:24" ht="34.799999999999997" x14ac:dyDescent="0.55000000000000004">
      <c r="D36" s="20" t="s">
        <v>22</v>
      </c>
      <c r="E36" s="20" t="s">
        <v>29</v>
      </c>
    </row>
    <row r="37" spans="2:24" ht="22.8" x14ac:dyDescent="0.4">
      <c r="D37" s="21"/>
    </row>
  </sheetData>
  <mergeCells count="42">
    <mergeCell ref="A10:B12"/>
    <mergeCell ref="C10:L10"/>
    <mergeCell ref="M10:P10"/>
    <mergeCell ref="D11:E11"/>
    <mergeCell ref="I11:I12"/>
    <mergeCell ref="G11:H11"/>
    <mergeCell ref="L11:L12"/>
    <mergeCell ref="M12:P12"/>
    <mergeCell ref="F11:F12"/>
    <mergeCell ref="J11:K11"/>
    <mergeCell ref="H1:J1"/>
    <mergeCell ref="H2:J2"/>
    <mergeCell ref="H3:J3"/>
    <mergeCell ref="H4:J4"/>
    <mergeCell ref="G19:H19"/>
    <mergeCell ref="J17:K17"/>
    <mergeCell ref="G16:H16"/>
    <mergeCell ref="G17:H17"/>
    <mergeCell ref="G18:H18"/>
    <mergeCell ref="J16:K16"/>
    <mergeCell ref="J18:K18"/>
    <mergeCell ref="H5:J5"/>
    <mergeCell ref="J19:K19"/>
    <mergeCell ref="J13:K13"/>
    <mergeCell ref="J14:K14"/>
    <mergeCell ref="J15:K15"/>
    <mergeCell ref="D19:E19"/>
    <mergeCell ref="F1:G1"/>
    <mergeCell ref="F2:G2"/>
    <mergeCell ref="F3:G3"/>
    <mergeCell ref="F4:G4"/>
    <mergeCell ref="D9:E9"/>
    <mergeCell ref="F5:G5"/>
    <mergeCell ref="D16:E16"/>
    <mergeCell ref="D17:E17"/>
    <mergeCell ref="D18:E18"/>
    <mergeCell ref="G13:H13"/>
    <mergeCell ref="G14:H14"/>
    <mergeCell ref="G15:H15"/>
    <mergeCell ref="D13:E13"/>
    <mergeCell ref="D14:E14"/>
    <mergeCell ref="D15:E15"/>
  </mergeCells>
  <phoneticPr fontId="1" type="noConversion"/>
  <dataValidations disablePrompts="1" count="1">
    <dataValidation type="list" allowBlank="1" showInputMessage="1" showErrorMessage="1" sqref="D12 G12 J12">
      <formula1>$Z$1:$Z$2</formula1>
    </dataValidation>
  </dataValidations>
  <pageMargins left="0.75" right="0.75" top="1" bottom="1" header="0.5" footer="0.5"/>
  <pageSetup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heetViews>
  <sheetFormatPr defaultRowHeight="13.2" x14ac:dyDescent="0.25"/>
  <cols>
    <col min="2" max="2" width="9.33203125" bestFit="1" customWidth="1"/>
    <col min="3" max="4" width="9.6640625" bestFit="1" customWidth="1"/>
  </cols>
  <sheetData>
    <row r="1" spans="1:8" x14ac:dyDescent="0.25">
      <c r="A1" s="37" t="s">
        <v>13</v>
      </c>
      <c r="B1" t="str">
        <f>'Comparison Table'!H2</f>
        <v>12345(04)</v>
      </c>
    </row>
    <row r="2" spans="1:8" x14ac:dyDescent="0.25">
      <c r="A2" s="35"/>
      <c r="B2" s="38" t="str">
        <f>'Comparison Table'!H4</f>
        <v>S.H. 18</v>
      </c>
      <c r="C2" s="42" t="s">
        <v>37</v>
      </c>
      <c r="D2" t="str">
        <f>'Comparison Table'!H5</f>
        <v>Wet Cr</v>
      </c>
    </row>
    <row r="4" spans="1:8" ht="13.2" customHeight="1" x14ac:dyDescent="0.25">
      <c r="A4" s="36" t="s">
        <v>35</v>
      </c>
      <c r="B4" s="36" t="s">
        <v>36</v>
      </c>
      <c r="C4" s="72" t="str">
        <f>'Comparison Table'!D11</f>
        <v>Existing 40'-50'-40' Conc Girder Spans</v>
      </c>
      <c r="D4" s="72"/>
      <c r="E4" s="69" t="str">
        <f>'Comparison Table'!G11</f>
        <v>Proposed Alternative 60'-70'-60' PCB TIII Spans</v>
      </c>
      <c r="F4" s="69"/>
      <c r="G4" s="69" t="str">
        <f>IF(ISBLANK('Comparison Table'!J11),"",'Comparison Table'!J11)</f>
        <v>Proposed 20'x17' RCB Turned 6 Deg</v>
      </c>
      <c r="H4" s="69"/>
    </row>
    <row r="5" spans="1:8" x14ac:dyDescent="0.25">
      <c r="A5" s="13">
        <f>'Comparison Table'!B13</f>
        <v>397</v>
      </c>
      <c r="B5" s="31">
        <f>'Comparison Table'!C13</f>
        <v>987.44</v>
      </c>
      <c r="C5" s="56">
        <f>'Comparison Table'!D13</f>
        <v>987.5</v>
      </c>
      <c r="D5" s="56"/>
      <c r="E5" s="62">
        <f>'Comparison Table'!G13</f>
        <v>987.1</v>
      </c>
      <c r="F5" s="63"/>
      <c r="G5" s="69">
        <f>IF(ISBLANK('Comparison Table'!J13),"",'Comparison Table'!J13)</f>
        <v>990.69</v>
      </c>
      <c r="H5" s="69"/>
    </row>
    <row r="6" spans="1:8" x14ac:dyDescent="0.25">
      <c r="A6" s="13">
        <f>'Comparison Table'!B14</f>
        <v>830</v>
      </c>
      <c r="B6" s="32">
        <f>'Comparison Table'!C14</f>
        <v>990.71</v>
      </c>
      <c r="C6" s="56">
        <f>'Comparison Table'!D14</f>
        <v>990.77</v>
      </c>
      <c r="D6" s="56"/>
      <c r="E6" s="62">
        <f>'Comparison Table'!G14</f>
        <v>990.34</v>
      </c>
      <c r="F6" s="63"/>
      <c r="G6" s="69">
        <f>IF(ISBLANK('Comparison Table'!J14),"",'Comparison Table'!J14)</f>
        <v>990.72</v>
      </c>
      <c r="H6" s="69"/>
    </row>
    <row r="7" spans="1:8" x14ac:dyDescent="0.25">
      <c r="A7" s="13">
        <f>'Comparison Table'!B15</f>
        <v>1260</v>
      </c>
      <c r="B7" s="32">
        <f>'Comparison Table'!C15</f>
        <v>992.31</v>
      </c>
      <c r="C7" s="56">
        <f>'Comparison Table'!D15</f>
        <v>992.42</v>
      </c>
      <c r="D7" s="56"/>
      <c r="E7" s="62">
        <f>'Comparison Table'!G15</f>
        <v>992.22</v>
      </c>
      <c r="F7" s="63"/>
      <c r="G7" s="69">
        <f>IF(ISBLANK('Comparison Table'!J15),"",'Comparison Table'!J15)</f>
        <v>992.36</v>
      </c>
      <c r="H7" s="69"/>
    </row>
    <row r="8" spans="1:8" x14ac:dyDescent="0.25">
      <c r="A8" s="13">
        <f>'Comparison Table'!B16</f>
        <v>1980</v>
      </c>
      <c r="B8" s="32">
        <f>'Comparison Table'!C16</f>
        <v>993.49</v>
      </c>
      <c r="C8" s="56">
        <f>'Comparison Table'!D16</f>
        <v>993.73</v>
      </c>
      <c r="D8" s="56"/>
      <c r="E8" s="62">
        <f>'Comparison Table'!G16</f>
        <v>993.8</v>
      </c>
      <c r="F8" s="63"/>
      <c r="G8" s="69">
        <f>IF(ISBLANK('Comparison Table'!J16),"",'Comparison Table'!J16)</f>
        <v>993.61</v>
      </c>
      <c r="H8" s="69"/>
    </row>
    <row r="9" spans="1:8" x14ac:dyDescent="0.25">
      <c r="A9" s="13">
        <f>'Comparison Table'!B17</f>
        <v>2490</v>
      </c>
      <c r="B9" s="32">
        <f>'Comparison Table'!C17</f>
        <v>994.15</v>
      </c>
      <c r="C9" s="56">
        <f>'Comparison Table'!D17</f>
        <v>994.48</v>
      </c>
      <c r="D9" s="56"/>
      <c r="E9" s="62">
        <f>'Comparison Table'!G17</f>
        <v>994.85</v>
      </c>
      <c r="F9" s="63"/>
      <c r="G9" s="69">
        <f>IF(ISBLANK('Comparison Table'!J17),"",'Comparison Table'!J17)</f>
        <v>994.32</v>
      </c>
      <c r="H9" s="69"/>
    </row>
    <row r="10" spans="1:8" x14ac:dyDescent="0.25">
      <c r="A10" s="13">
        <f>'Comparison Table'!B18</f>
        <v>3140</v>
      </c>
      <c r="B10" s="32">
        <f>'Comparison Table'!C18</f>
        <v>994.89</v>
      </c>
      <c r="C10" s="56">
        <f>'Comparison Table'!D18</f>
        <v>995.33</v>
      </c>
      <c r="D10" s="56"/>
      <c r="E10" s="62">
        <f>'Comparison Table'!G18</f>
        <v>996.24</v>
      </c>
      <c r="F10" s="63"/>
      <c r="G10" s="69">
        <f>IF(ISBLANK('Comparison Table'!J18),"",'Comparison Table'!J18)</f>
        <v>995.12</v>
      </c>
      <c r="H10" s="69"/>
    </row>
    <row r="11" spans="1:8" x14ac:dyDescent="0.25">
      <c r="A11" s="13">
        <f>'Comparison Table'!B19</f>
        <v>4910</v>
      </c>
      <c r="B11" s="32">
        <f>'Comparison Table'!C19</f>
        <v>996.55</v>
      </c>
      <c r="C11" s="56">
        <f>'Comparison Table'!D19</f>
        <v>997.31</v>
      </c>
      <c r="D11" s="56"/>
      <c r="E11" s="62">
        <f>'Comparison Table'!G19</f>
        <v>1000.37</v>
      </c>
      <c r="F11" s="63"/>
      <c r="G11" s="69">
        <f>IF(ISBLANK('Comparison Table'!J19),"",'Comparison Table'!J19)</f>
        <v>996.91</v>
      </c>
      <c r="H11" s="69"/>
    </row>
  </sheetData>
  <mergeCells count="24">
    <mergeCell ref="C10:D10"/>
    <mergeCell ref="E10:F10"/>
    <mergeCell ref="G10:H10"/>
    <mergeCell ref="C11:D11"/>
    <mergeCell ref="E11:F11"/>
    <mergeCell ref="G11:H11"/>
    <mergeCell ref="C8:D8"/>
    <mergeCell ref="E8:F8"/>
    <mergeCell ref="G8:H8"/>
    <mergeCell ref="C9:D9"/>
    <mergeCell ref="E9:F9"/>
    <mergeCell ref="G9:H9"/>
    <mergeCell ref="C6:D6"/>
    <mergeCell ref="E6:F6"/>
    <mergeCell ref="G6:H6"/>
    <mergeCell ref="C7:D7"/>
    <mergeCell ref="E7:F7"/>
    <mergeCell ref="G7:H7"/>
    <mergeCell ref="C4:D4"/>
    <mergeCell ref="E4:F4"/>
    <mergeCell ref="G4:H4"/>
    <mergeCell ref="C5:D5"/>
    <mergeCell ref="E5:F5"/>
    <mergeCell ref="G5:H5"/>
  </mergeCells>
  <phoneticPr fontId="1"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zoomScale="80" zoomScaleNormal="80" workbookViewId="0"/>
  </sheetViews>
  <sheetFormatPr defaultColWidth="8.88671875" defaultRowHeight="13.2" x14ac:dyDescent="0.25"/>
  <cols>
    <col min="1" max="1" width="8.6640625" style="1" customWidth="1"/>
    <col min="2" max="2" width="13.88671875" style="1" customWidth="1"/>
    <col min="3" max="3" width="9" style="1" bestFit="1" customWidth="1"/>
    <col min="4" max="4" width="13.88671875" style="1" customWidth="1"/>
    <col min="5" max="5" width="13.33203125" style="1" customWidth="1"/>
    <col min="6" max="6" width="11.33203125" style="1" customWidth="1"/>
    <col min="7" max="7" width="13.88671875" style="1" customWidth="1"/>
    <col min="8" max="8" width="9.109375" style="1" customWidth="1"/>
    <col min="9" max="9" width="11.109375" style="1" customWidth="1"/>
    <col min="10" max="10" width="13.88671875" style="1" customWidth="1"/>
    <col min="11" max="11" width="13" style="1" customWidth="1"/>
    <col min="12" max="12" width="9.5546875" style="1" bestFit="1" customWidth="1"/>
    <col min="13" max="13" width="9.109375" style="1" customWidth="1"/>
    <col min="14" max="16" width="13.6640625" style="1" customWidth="1"/>
    <col min="17" max="21" width="8.88671875" style="1"/>
    <col min="22" max="22" width="9.33203125" style="1" bestFit="1" customWidth="1"/>
    <col min="23" max="23" width="18.44140625" style="1" bestFit="1" customWidth="1"/>
    <col min="24" max="25" width="20" style="1" bestFit="1" customWidth="1"/>
    <col min="26" max="26" width="18.44140625" style="1" bestFit="1" customWidth="1"/>
    <col min="27" max="31" width="20" style="1" bestFit="1" customWidth="1"/>
    <col min="32" max="16384" width="8.88671875" style="1"/>
  </cols>
  <sheetData>
    <row r="1" spans="1:19" ht="17.399999999999999" x14ac:dyDescent="0.3">
      <c r="A1" s="27" t="s">
        <v>32</v>
      </c>
      <c r="B1" s="28" t="s">
        <v>33</v>
      </c>
      <c r="C1" s="23"/>
      <c r="D1" s="23"/>
      <c r="F1" s="57" t="s">
        <v>14</v>
      </c>
      <c r="G1" s="57"/>
      <c r="H1" s="59" t="str">
        <f>'Comparison Table'!H1:J1</f>
        <v>Any</v>
      </c>
      <c r="I1" s="60"/>
      <c r="J1" s="61"/>
    </row>
    <row r="2" spans="1:19" ht="17.399999999999999" x14ac:dyDescent="0.3">
      <c r="A2" s="29" t="str">
        <f>'Comparison Table'!A2</f>
        <v>AJK</v>
      </c>
      <c r="B2" s="30">
        <f>'Comparison Table'!B2</f>
        <v>43319</v>
      </c>
      <c r="C2" s="23"/>
      <c r="D2" s="23"/>
      <c r="F2" s="57" t="s">
        <v>13</v>
      </c>
      <c r="G2" s="57"/>
      <c r="H2" s="59" t="str">
        <f>'Comparison Table'!H2:J2</f>
        <v>12345(04)</v>
      </c>
      <c r="I2" s="60"/>
      <c r="J2" s="61"/>
    </row>
    <row r="3" spans="1:19" ht="17.399999999999999" x14ac:dyDescent="0.3">
      <c r="A3" s="29" t="str">
        <f>IF(ISBLANK('Comparison Table'!A3),"",'Comparison Table'!A3)</f>
        <v/>
      </c>
      <c r="B3" s="30" t="str">
        <f>IF(ISBLANK('Comparison Table'!B3),"",'Comparison Table'!B3)</f>
        <v/>
      </c>
      <c r="C3" s="24"/>
      <c r="D3" s="24"/>
      <c r="F3" s="57" t="s">
        <v>41</v>
      </c>
      <c r="G3" s="57"/>
      <c r="H3" s="59" t="str">
        <f>'Comparison Table'!H3:J3</f>
        <v>J1-2345(004)</v>
      </c>
      <c r="I3" s="60"/>
      <c r="J3" s="61"/>
    </row>
    <row r="4" spans="1:19" ht="17.399999999999999" x14ac:dyDescent="0.3">
      <c r="A4" s="26" t="str">
        <f>IF(ISBLANK('Comparison Table'!A4),"",'Comparison Table'!A4)</f>
        <v/>
      </c>
      <c r="B4" s="30" t="str">
        <f>IF(ISBLANK('Comparison Table'!B4),"",'Comparison Table'!B4)</f>
        <v/>
      </c>
      <c r="F4" s="57" t="s">
        <v>15</v>
      </c>
      <c r="G4" s="57"/>
      <c r="H4" s="59" t="str">
        <f>'Comparison Table'!H4:J4</f>
        <v>S.H. 18</v>
      </c>
      <c r="I4" s="60"/>
      <c r="J4" s="61"/>
    </row>
    <row r="5" spans="1:19" ht="17.399999999999999" x14ac:dyDescent="0.3">
      <c r="F5" s="57" t="s">
        <v>16</v>
      </c>
      <c r="G5" s="57"/>
      <c r="H5" s="59" t="str">
        <f>'Comparison Table'!H5:J5</f>
        <v>Wet Cr</v>
      </c>
      <c r="I5" s="60"/>
      <c r="J5" s="61"/>
      <c r="L5" s="2"/>
    </row>
    <row r="9" spans="1:19" x14ac:dyDescent="0.25">
      <c r="C9" s="25" t="s">
        <v>27</v>
      </c>
      <c r="D9" s="58">
        <f>'Comparison Table'!D9:E9</f>
        <v>1234</v>
      </c>
      <c r="E9" s="58"/>
    </row>
    <row r="10" spans="1:19" ht="52.95" customHeight="1" x14ac:dyDescent="0.25">
      <c r="A10" s="64" t="str">
        <f>'Comparison Table'!A10</f>
        <v>Discharges (CFS)</v>
      </c>
      <c r="B10" s="64"/>
      <c r="C10" s="73" t="str">
        <f>'Comparison Table'!C10</f>
        <v>Computed Water Surface Elev. (FT)</v>
      </c>
      <c r="D10" s="73"/>
      <c r="E10" s="73"/>
      <c r="F10" s="64"/>
      <c r="G10" s="64"/>
      <c r="H10" s="64"/>
      <c r="I10" s="64"/>
      <c r="J10" s="64"/>
      <c r="K10" s="64"/>
      <c r="L10" s="64"/>
      <c r="M10" s="64" t="str">
        <f>'Comparison Table'!M10</f>
        <v>Velocity (FPS)</v>
      </c>
      <c r="N10" s="64"/>
      <c r="O10" s="64"/>
      <c r="P10" s="64"/>
    </row>
    <row r="11" spans="1:19" ht="105" customHeight="1" x14ac:dyDescent="0.25">
      <c r="A11" s="64"/>
      <c r="B11" s="64"/>
      <c r="C11" s="44" t="str">
        <f>'Comparison Table'!C11</f>
        <v>Open Channel</v>
      </c>
      <c r="D11" s="72" t="str">
        <f>'Comparison Table'!D11</f>
        <v>Existing 40'-50'-40' Conc Girder Spans</v>
      </c>
      <c r="E11" s="72"/>
      <c r="F11" s="64" t="str">
        <f>'Comparison Table'!F11</f>
        <v>Backwater</v>
      </c>
      <c r="G11" s="69" t="str">
        <f>'Comparison Table'!G11</f>
        <v>Proposed Alternative 60'-70'-60' PCB TIII Spans</v>
      </c>
      <c r="H11" s="69"/>
      <c r="I11" s="64" t="str">
        <f>'Comparison Table'!I11</f>
        <v>Backwater</v>
      </c>
      <c r="J11" s="69" t="str">
        <f>IF(ISBLANK('Comparison Table'!J11),"",'Comparison Table'!J11)</f>
        <v>Proposed 20'x17' RCB Turned 6 Deg</v>
      </c>
      <c r="K11" s="69"/>
      <c r="L11" s="64" t="str">
        <f>'Comparison Table'!L11</f>
        <v>Backwater</v>
      </c>
      <c r="M11" s="44" t="str">
        <f>'Comparison Table'!M11</f>
        <v>Open Channel</v>
      </c>
      <c r="N11" s="46" t="str">
        <f>'Comparison Table'!N11</f>
        <v>Existing 40'-50'-40' Conc Girder Spans</v>
      </c>
      <c r="O11" s="46" t="str">
        <f>'Comparison Table'!O11</f>
        <v>Proposed Alternative 60'-70'-60' PCB TIII Spans</v>
      </c>
      <c r="P11" s="46" t="str">
        <f>IF(ISBLANK('Comparison Table'!P11),"",'Comparison Table'!P11)</f>
        <v>Proposed 20'x17' RCB Turned 6 Deg</v>
      </c>
      <c r="S11" s="22" t="s">
        <v>30</v>
      </c>
    </row>
    <row r="12" spans="1:19" ht="26.4" customHeight="1" x14ac:dyDescent="0.25">
      <c r="A12" s="64"/>
      <c r="B12" s="64"/>
      <c r="C12" s="44">
        <f>'Comparison Table'!C12</f>
        <v>0</v>
      </c>
      <c r="D12" s="44" t="str">
        <f>'Comparison Table'!D12</f>
        <v>Low Beam (ft)</v>
      </c>
      <c r="E12" s="17">
        <f>'Comparison Table'!E12</f>
        <v>1004.4</v>
      </c>
      <c r="F12" s="64"/>
      <c r="G12" s="44" t="str">
        <f>'Comparison Table'!G12</f>
        <v>Low Beam (ft)</v>
      </c>
      <c r="H12" s="17">
        <f>'Comparison Table'!H12</f>
        <v>1005</v>
      </c>
      <c r="I12" s="64"/>
      <c r="J12" s="44" t="str">
        <f>'Comparison Table'!J12</f>
        <v>Flowline In (ft)</v>
      </c>
      <c r="K12" s="17">
        <f>IF(ISBLANK('Comparison Table'!K12),"",'Comparison Table'!K12)</f>
        <v>1003.91</v>
      </c>
      <c r="L12" s="64"/>
      <c r="M12" s="64" t="str">
        <f>IF(ISBLANK('Comparison Table'!M12),"",'Comparison Table'!M12)</f>
        <v/>
      </c>
      <c r="N12" s="64"/>
      <c r="O12" s="64"/>
      <c r="P12" s="64"/>
      <c r="S12" s="1" t="s">
        <v>31</v>
      </c>
    </row>
    <row r="13" spans="1:19" x14ac:dyDescent="0.25">
      <c r="A13" s="44" t="str">
        <f>'Comparison Table'!A13</f>
        <v>Q2 =</v>
      </c>
      <c r="B13" s="13">
        <f>'Comparison Table'!B13</f>
        <v>397</v>
      </c>
      <c r="C13" s="45">
        <f>'Comparison Table'!C13</f>
        <v>987.44</v>
      </c>
      <c r="D13" s="62">
        <f>'Comparison Table'!D13</f>
        <v>987.5</v>
      </c>
      <c r="E13" s="63"/>
      <c r="F13" s="5">
        <f>'Comparison Table'!F13</f>
        <v>5.999999999994543E-2</v>
      </c>
      <c r="G13" s="56">
        <f>'Comparison Table'!G13</f>
        <v>987.1</v>
      </c>
      <c r="H13" s="56"/>
      <c r="I13" s="5">
        <f>'Comparison Table'!I13</f>
        <v>-0.34000000000003183</v>
      </c>
      <c r="J13" s="56">
        <f>IF(ISBLANK('Comparison Table'!J13),"",'Comparison Table'!J13)</f>
        <v>990.69</v>
      </c>
      <c r="K13" s="56"/>
      <c r="L13" s="5">
        <f>'Comparison Table'!L13</f>
        <v>3.25</v>
      </c>
      <c r="M13" s="45">
        <f>'Comparison Table'!M13</f>
        <v>4.43</v>
      </c>
      <c r="N13" s="45">
        <f>'Comparison Table'!N13</f>
        <v>4.12</v>
      </c>
      <c r="O13" s="45">
        <f>'Comparison Table'!O13</f>
        <v>2.66</v>
      </c>
      <c r="P13" s="45">
        <f>IF(ISBLANK('Comparison Table'!P13),"",'Comparison Table'!P13)</f>
        <v>4.03</v>
      </c>
    </row>
    <row r="14" spans="1:19" x14ac:dyDescent="0.25">
      <c r="A14" s="44" t="str">
        <f>'Comparison Table'!A14</f>
        <v>Q5 =</v>
      </c>
      <c r="B14" s="13">
        <f>'Comparison Table'!B14</f>
        <v>830</v>
      </c>
      <c r="C14" s="45">
        <f>'Comparison Table'!C14</f>
        <v>990.71</v>
      </c>
      <c r="D14" s="62">
        <f>'Comparison Table'!D14</f>
        <v>990.77</v>
      </c>
      <c r="E14" s="63"/>
      <c r="F14" s="5">
        <f>'Comparison Table'!F14</f>
        <v>5.999999999994543E-2</v>
      </c>
      <c r="G14" s="56">
        <f>'Comparison Table'!G14</f>
        <v>990.34</v>
      </c>
      <c r="H14" s="56"/>
      <c r="I14" s="5">
        <f>'Comparison Table'!I14</f>
        <v>-0.37000000000000455</v>
      </c>
      <c r="J14" s="56">
        <f>IF(ISBLANK('Comparison Table'!J14),"",'Comparison Table'!J14)</f>
        <v>990.72</v>
      </c>
      <c r="K14" s="56"/>
      <c r="L14" s="5">
        <f>'Comparison Table'!L14</f>
        <v>9.9999999999909051E-3</v>
      </c>
      <c r="M14" s="45">
        <f>'Comparison Table'!M14</f>
        <v>4.29</v>
      </c>
      <c r="N14" s="45">
        <f>'Comparison Table'!N14</f>
        <v>4.22</v>
      </c>
      <c r="O14" s="45">
        <f>'Comparison Table'!O14</f>
        <v>3.87</v>
      </c>
      <c r="P14" s="49">
        <f>IF(ISBLANK('Comparison Table'!P14),"",'Comparison Table'!P14)</f>
        <v>3.99</v>
      </c>
    </row>
    <row r="15" spans="1:19" x14ac:dyDescent="0.25">
      <c r="A15" s="44" t="str">
        <f>'Comparison Table'!A15</f>
        <v>Q10 =</v>
      </c>
      <c r="B15" s="13">
        <f>'Comparison Table'!B15</f>
        <v>1260</v>
      </c>
      <c r="C15" s="45">
        <f>'Comparison Table'!C15</f>
        <v>992.31</v>
      </c>
      <c r="D15" s="62">
        <f>'Comparison Table'!D15</f>
        <v>992.42</v>
      </c>
      <c r="E15" s="63"/>
      <c r="F15" s="5">
        <f>'Comparison Table'!F15</f>
        <v>0.11000000000001364</v>
      </c>
      <c r="G15" s="56">
        <f>'Comparison Table'!G15</f>
        <v>992.22</v>
      </c>
      <c r="H15" s="56"/>
      <c r="I15" s="5">
        <f>'Comparison Table'!I15</f>
        <v>-8.9999999999918145E-2</v>
      </c>
      <c r="J15" s="56">
        <f>IF(ISBLANK('Comparison Table'!J15),"",'Comparison Table'!J15)</f>
        <v>992.36</v>
      </c>
      <c r="K15" s="56"/>
      <c r="L15" s="5">
        <f>'Comparison Table'!L15</f>
        <v>5.0000000000068212E-2</v>
      </c>
      <c r="M15" s="45">
        <f>'Comparison Table'!M15</f>
        <v>4.04</v>
      </c>
      <c r="N15" s="45">
        <f>'Comparison Table'!N15</f>
        <v>4.2699999999999996</v>
      </c>
      <c r="O15" s="45">
        <f>'Comparison Table'!O15</f>
        <v>5.0599999999999996</v>
      </c>
      <c r="P15" s="49">
        <f>IF(ISBLANK('Comparison Table'!P15),"",'Comparison Table'!P15)</f>
        <v>3.91</v>
      </c>
    </row>
    <row r="16" spans="1:19" x14ac:dyDescent="0.25">
      <c r="A16" s="44" t="str">
        <f>'Comparison Table'!A16</f>
        <v>Q25 =</v>
      </c>
      <c r="B16" s="13">
        <f>'Comparison Table'!B16</f>
        <v>1980</v>
      </c>
      <c r="C16" s="45">
        <f>'Comparison Table'!C16</f>
        <v>993.49</v>
      </c>
      <c r="D16" s="62">
        <f>'Comparison Table'!D16</f>
        <v>993.73</v>
      </c>
      <c r="E16" s="63"/>
      <c r="F16" s="5">
        <f>'Comparison Table'!F16</f>
        <v>0.24000000000000909</v>
      </c>
      <c r="G16" s="56">
        <f>'Comparison Table'!G16</f>
        <v>993.8</v>
      </c>
      <c r="H16" s="56"/>
      <c r="I16" s="5">
        <f>'Comparison Table'!I16</f>
        <v>0.30999999999994543</v>
      </c>
      <c r="J16" s="56">
        <f>IF(ISBLANK('Comparison Table'!J16),"",'Comparison Table'!J16)</f>
        <v>993.61</v>
      </c>
      <c r="K16" s="56"/>
      <c r="L16" s="5">
        <f>'Comparison Table'!L16</f>
        <v>0.12000000000000455</v>
      </c>
      <c r="M16" s="45">
        <f>'Comparison Table'!M16</f>
        <v>5.03</v>
      </c>
      <c r="N16" s="45">
        <f>'Comparison Table'!N16</f>
        <v>5.44</v>
      </c>
      <c r="O16" s="45">
        <f>'Comparison Table'!O16</f>
        <v>7.37</v>
      </c>
      <c r="P16" s="49">
        <f>IF(ISBLANK('Comparison Table'!P16),"",'Comparison Table'!P16)</f>
        <v>4.88</v>
      </c>
    </row>
    <row r="17" spans="1:27" x14ac:dyDescent="0.25">
      <c r="A17" s="44" t="str">
        <f>'Comparison Table'!A17</f>
        <v>Q50 =</v>
      </c>
      <c r="B17" s="13">
        <f>'Comparison Table'!B17</f>
        <v>2490</v>
      </c>
      <c r="C17" s="45">
        <f>'Comparison Table'!C17</f>
        <v>994.15</v>
      </c>
      <c r="D17" s="62">
        <f>'Comparison Table'!D17</f>
        <v>994.48</v>
      </c>
      <c r="E17" s="63"/>
      <c r="F17" s="5">
        <f>'Comparison Table'!F17</f>
        <v>0.33000000000004093</v>
      </c>
      <c r="G17" s="56">
        <f>'Comparison Table'!G17</f>
        <v>994.85</v>
      </c>
      <c r="H17" s="56"/>
      <c r="I17" s="5">
        <f>'Comparison Table'!I17</f>
        <v>0.70000000000004547</v>
      </c>
      <c r="J17" s="56">
        <f>IF(ISBLANK('Comparison Table'!J17),"",'Comparison Table'!J17)</f>
        <v>994.32</v>
      </c>
      <c r="K17" s="56"/>
      <c r="L17" s="5">
        <f>'Comparison Table'!L17</f>
        <v>0.17000000000007276</v>
      </c>
      <c r="M17" s="45">
        <f>'Comparison Table'!M17</f>
        <v>5.67</v>
      </c>
      <c r="N17" s="45">
        <f>'Comparison Table'!N17</f>
        <v>6.18</v>
      </c>
      <c r="O17" s="45">
        <f>'Comparison Table'!O17</f>
        <v>8.92</v>
      </c>
      <c r="P17" s="49">
        <f>IF(ISBLANK('Comparison Table'!P17),"",'Comparison Table'!P17)</f>
        <v>5.48</v>
      </c>
    </row>
    <row r="18" spans="1:27" x14ac:dyDescent="0.25">
      <c r="A18" s="44" t="str">
        <f>'Comparison Table'!A18</f>
        <v>Q100 =</v>
      </c>
      <c r="B18" s="13">
        <f>'Comparison Table'!B18</f>
        <v>3140</v>
      </c>
      <c r="C18" s="45">
        <f>'Comparison Table'!C18</f>
        <v>994.89</v>
      </c>
      <c r="D18" s="62">
        <f>'Comparison Table'!D18</f>
        <v>995.33</v>
      </c>
      <c r="E18" s="63"/>
      <c r="F18" s="5">
        <f>'Comparison Table'!F18</f>
        <v>0.44000000000005457</v>
      </c>
      <c r="G18" s="56">
        <f>'Comparison Table'!G18</f>
        <v>996.24</v>
      </c>
      <c r="H18" s="56"/>
      <c r="I18" s="5">
        <f>'Comparison Table'!I18</f>
        <v>1.3500000000000227</v>
      </c>
      <c r="J18" s="56">
        <f>IF(ISBLANK('Comparison Table'!J18),"",'Comparison Table'!J18)</f>
        <v>995.12</v>
      </c>
      <c r="K18" s="56"/>
      <c r="L18" s="5">
        <f>'Comparison Table'!L18</f>
        <v>0.23000000000001819</v>
      </c>
      <c r="M18" s="45">
        <f>'Comparison Table'!M18</f>
        <v>6.37</v>
      </c>
      <c r="N18" s="45">
        <f>'Comparison Table'!N18</f>
        <v>7</v>
      </c>
      <c r="O18" s="45">
        <f>'Comparison Table'!O18</f>
        <v>10.79</v>
      </c>
      <c r="P18" s="49">
        <f>IF(ISBLANK('Comparison Table'!P18),"",'Comparison Table'!P18)</f>
        <v>6.12</v>
      </c>
    </row>
    <row r="19" spans="1:27" ht="39.6" x14ac:dyDescent="0.25">
      <c r="A19" s="44" t="s">
        <v>39</v>
      </c>
      <c r="B19" s="14">
        <v>3220</v>
      </c>
      <c r="C19" s="15">
        <v>1901.9</v>
      </c>
      <c r="D19" s="56">
        <v>1901.99</v>
      </c>
      <c r="E19" s="56"/>
      <c r="F19" s="5">
        <f t="shared" ref="F19" si="0">D19-C19</f>
        <v>8.9999999999918145E-2</v>
      </c>
      <c r="G19" s="56">
        <v>1901.95</v>
      </c>
      <c r="H19" s="56"/>
      <c r="I19" s="5">
        <f t="shared" ref="I19" si="1">G19-C19</f>
        <v>4.9999999999954525E-2</v>
      </c>
      <c r="J19" s="62"/>
      <c r="K19" s="63"/>
      <c r="L19" s="5" t="str">
        <f t="shared" ref="L19" si="2">IF(ISBLANK(J19),"",J19-C19)</f>
        <v/>
      </c>
      <c r="M19" s="47">
        <v>7.74</v>
      </c>
      <c r="N19" s="47">
        <v>6.93</v>
      </c>
      <c r="O19" s="47">
        <v>7.14</v>
      </c>
      <c r="P19" s="45"/>
    </row>
    <row r="20" spans="1:27" x14ac:dyDescent="0.25">
      <c r="A20" s="44" t="str">
        <f>'Comparison Table'!A19</f>
        <v>Q500 =</v>
      </c>
      <c r="B20" s="14">
        <f>'Comparison Table'!B19</f>
        <v>4910</v>
      </c>
      <c r="C20" s="15">
        <f>'Comparison Table'!C19</f>
        <v>996.55</v>
      </c>
      <c r="D20" s="62">
        <f>'Comparison Table'!D19</f>
        <v>997.31</v>
      </c>
      <c r="E20" s="63"/>
      <c r="F20" s="5">
        <f>'Comparison Table'!F19</f>
        <v>0.75999999999999091</v>
      </c>
      <c r="G20" s="56">
        <f>'Comparison Table'!G19</f>
        <v>1000.37</v>
      </c>
      <c r="H20" s="56"/>
      <c r="I20" s="5">
        <f>'Comparison Table'!I19</f>
        <v>3.82000000000005</v>
      </c>
      <c r="J20" s="56">
        <f>IF(ISBLANK('Comparison Table'!J19),"",'Comparison Table'!J19)</f>
        <v>996.91</v>
      </c>
      <c r="K20" s="56"/>
      <c r="L20" s="5">
        <f>'Comparison Table'!L19</f>
        <v>0.36000000000001364</v>
      </c>
      <c r="M20" s="47">
        <f>'Comparison Table'!M19</f>
        <v>7.87</v>
      </c>
      <c r="N20" s="47">
        <f>'Comparison Table'!N19</f>
        <v>8.82</v>
      </c>
      <c r="O20" s="47">
        <f>'Comparison Table'!O19</f>
        <v>15.42</v>
      </c>
      <c r="P20" s="45">
        <f>IF(ISBLANK('Comparison Table'!P19),"",'Comparison Table'!P19)</f>
        <v>7.47</v>
      </c>
    </row>
    <row r="21" spans="1:27" ht="26.4" x14ac:dyDescent="0.25">
      <c r="A21" s="9"/>
      <c r="B21" s="6"/>
      <c r="C21" s="7"/>
      <c r="D21" s="44" t="s">
        <v>12</v>
      </c>
      <c r="E21" s="17">
        <f>'Comparison Table'!$E$20</f>
        <v>1004.48</v>
      </c>
      <c r="F21" s="8"/>
      <c r="G21" s="44" t="s">
        <v>12</v>
      </c>
      <c r="H21" s="17">
        <f>'Comparison Table'!H20</f>
        <v>994</v>
      </c>
      <c r="I21" s="7"/>
      <c r="J21" s="44" t="s">
        <v>12</v>
      </c>
      <c r="K21" s="17">
        <f>IF(ISBLANK('Comparison Table'!K20),"",'Comparison Table'!K20)</f>
        <v>990</v>
      </c>
      <c r="L21" s="3"/>
      <c r="M21" s="3"/>
      <c r="N21" s="3"/>
      <c r="O21" s="3"/>
      <c r="P21" s="3"/>
    </row>
    <row r="22" spans="1:27" ht="26.4" x14ac:dyDescent="0.25">
      <c r="A22" s="3"/>
      <c r="B22" s="9"/>
      <c r="C22" s="9"/>
      <c r="D22" s="44" t="s">
        <v>17</v>
      </c>
      <c r="E22" s="18" t="str">
        <f ca="1">'Comparison Table'!E21</f>
        <v>&gt;= 4910</v>
      </c>
      <c r="F22" s="10"/>
      <c r="G22" s="44" t="s">
        <v>17</v>
      </c>
      <c r="H22" s="13">
        <f ca="1">'Comparison Table'!H21</f>
        <v>2077</v>
      </c>
      <c r="I22" s="11"/>
      <c r="J22" s="44" t="s">
        <v>17</v>
      </c>
      <c r="K22" s="17" t="str">
        <f ca="1">IF(ISBLANK('Comparison Table'!K21),"",'Comparison Table'!K21)</f>
        <v>&lt; 397</v>
      </c>
      <c r="L22" s="3"/>
      <c r="M22" s="3"/>
      <c r="N22" s="3"/>
      <c r="O22" s="3"/>
      <c r="P22" s="3"/>
    </row>
    <row r="23" spans="1:27" ht="26.4" x14ac:dyDescent="0.25">
      <c r="A23" s="9"/>
      <c r="B23" s="9"/>
      <c r="C23" s="3"/>
      <c r="D23" s="44" t="s">
        <v>18</v>
      </c>
      <c r="E23" s="17" t="str">
        <f ca="1">'Comparison Table'!E22</f>
        <v>&gt;= 500</v>
      </c>
      <c r="F23" s="11"/>
      <c r="G23" s="44" t="s">
        <v>18</v>
      </c>
      <c r="H23" s="49">
        <f ca="1">'Comparison Table'!H22</f>
        <v>30</v>
      </c>
      <c r="I23" s="3"/>
      <c r="J23" s="44" t="s">
        <v>18</v>
      </c>
      <c r="K23" s="17" t="str">
        <f ca="1">IF(ISBLANK('Comparison Table'!K22),"",'Comparison Table'!K22)</f>
        <v>&lt; 2</v>
      </c>
      <c r="L23" s="3"/>
      <c r="M23" s="3"/>
      <c r="N23" s="3"/>
      <c r="O23" s="3"/>
      <c r="P23" s="3"/>
    </row>
    <row r="24" spans="1:27" x14ac:dyDescent="0.25">
      <c r="C24" s="12"/>
      <c r="D24" s="12"/>
      <c r="E24" s="12"/>
      <c r="F24" s="12"/>
      <c r="G24" s="12"/>
      <c r="H24" s="12"/>
      <c r="I24" s="12"/>
      <c r="J24" s="12"/>
      <c r="K24" s="12"/>
      <c r="L24" s="12"/>
      <c r="M24" s="12"/>
      <c r="N24" s="12"/>
      <c r="O24" s="12"/>
      <c r="P24" s="12"/>
    </row>
    <row r="25" spans="1:27" ht="15.6" x14ac:dyDescent="0.3">
      <c r="A25" s="43" t="s">
        <v>38</v>
      </c>
    </row>
    <row r="29" spans="1:27" ht="34.799999999999997" x14ac:dyDescent="0.55000000000000004">
      <c r="B29" s="20" t="s">
        <v>19</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ht="34.799999999999997" x14ac:dyDescent="0.55000000000000004">
      <c r="B30" s="20"/>
      <c r="C30" s="20"/>
      <c r="D30" s="20" t="s">
        <v>20</v>
      </c>
      <c r="E30" s="20"/>
      <c r="F30" s="20"/>
      <c r="G30" s="20"/>
      <c r="H30" s="20"/>
      <c r="I30" s="20"/>
      <c r="J30" s="20"/>
      <c r="K30" s="20"/>
      <c r="L30" s="20"/>
      <c r="M30" s="20"/>
      <c r="N30" s="20"/>
      <c r="O30" s="20"/>
      <c r="P30" s="20"/>
      <c r="Q30" s="20"/>
      <c r="R30" s="20"/>
      <c r="S30" s="20"/>
      <c r="T30" s="20"/>
      <c r="U30" s="20"/>
      <c r="V30" s="20"/>
      <c r="W30" s="20"/>
      <c r="X30" s="20"/>
      <c r="Y30" s="20"/>
      <c r="Z30" s="20"/>
      <c r="AA30" s="20"/>
    </row>
    <row r="31" spans="1:27" ht="34.799999999999997" x14ac:dyDescent="0.55000000000000004">
      <c r="B31" s="20"/>
      <c r="C31" s="20"/>
      <c r="D31" s="20" t="s">
        <v>21</v>
      </c>
      <c r="E31" s="20"/>
      <c r="F31" s="20"/>
      <c r="G31" s="20"/>
      <c r="H31" s="20"/>
      <c r="I31" s="20"/>
      <c r="J31" s="20"/>
      <c r="K31" s="20"/>
      <c r="L31" s="20"/>
      <c r="M31" s="20"/>
      <c r="N31" s="20"/>
      <c r="O31" s="20"/>
      <c r="P31" s="20"/>
      <c r="Q31" s="20"/>
      <c r="R31" s="20"/>
      <c r="S31" s="20"/>
      <c r="T31" s="20"/>
      <c r="U31" s="20"/>
      <c r="V31" s="20"/>
      <c r="W31" s="20"/>
      <c r="X31" s="20"/>
      <c r="Y31" s="20"/>
      <c r="Z31" s="20"/>
      <c r="AA31" s="20"/>
    </row>
    <row r="32" spans="1:27" ht="34.799999999999997" x14ac:dyDescent="0.55000000000000004">
      <c r="B32" s="20" t="s">
        <v>22</v>
      </c>
      <c r="C32" s="20"/>
      <c r="D32" s="20"/>
      <c r="E32" s="20" t="s">
        <v>23</v>
      </c>
      <c r="F32" s="20"/>
      <c r="G32" s="20"/>
      <c r="H32" s="20"/>
      <c r="I32" s="20"/>
      <c r="J32" s="20"/>
      <c r="K32" s="20"/>
      <c r="L32" s="20"/>
      <c r="M32" s="20"/>
      <c r="N32" s="20"/>
      <c r="O32" s="20"/>
      <c r="P32" s="20"/>
      <c r="Q32" s="20"/>
      <c r="R32" s="20"/>
      <c r="S32" s="20"/>
      <c r="T32" s="20"/>
      <c r="U32" s="20"/>
      <c r="V32" s="20"/>
      <c r="W32" s="20"/>
      <c r="X32" s="20"/>
      <c r="Y32" s="20"/>
      <c r="Z32" s="20"/>
      <c r="AA32" s="20"/>
    </row>
    <row r="33" spans="2:27" ht="34.799999999999997" x14ac:dyDescent="0.55000000000000004">
      <c r="B33" s="20"/>
      <c r="C33" s="20"/>
      <c r="D33" s="20" t="s">
        <v>22</v>
      </c>
      <c r="E33" s="20" t="s">
        <v>28</v>
      </c>
      <c r="F33" s="20"/>
      <c r="G33" s="20"/>
      <c r="H33" s="20"/>
      <c r="I33" s="20"/>
      <c r="J33" s="20"/>
      <c r="K33" s="20"/>
      <c r="L33" s="20"/>
      <c r="M33" s="20"/>
      <c r="N33" s="20"/>
      <c r="O33" s="20"/>
      <c r="P33" s="20"/>
      <c r="Q33" s="20"/>
      <c r="R33" s="20"/>
      <c r="S33" s="20"/>
      <c r="T33" s="20"/>
      <c r="U33" s="20"/>
      <c r="V33" s="20"/>
      <c r="W33" s="20"/>
      <c r="X33" s="20"/>
      <c r="Y33" s="20"/>
      <c r="Z33" s="20"/>
      <c r="AA33" s="20"/>
    </row>
    <row r="34" spans="2:27" ht="34.799999999999997" x14ac:dyDescent="0.55000000000000004">
      <c r="B34" s="20"/>
      <c r="C34" s="20"/>
      <c r="D34" s="20" t="s">
        <v>22</v>
      </c>
      <c r="E34" s="20" t="s">
        <v>24</v>
      </c>
      <c r="F34" s="20"/>
      <c r="G34" s="20"/>
      <c r="H34" s="20"/>
      <c r="I34" s="20"/>
      <c r="J34" s="20"/>
      <c r="K34" s="20"/>
      <c r="L34" s="20"/>
      <c r="M34" s="20"/>
      <c r="N34" s="20"/>
      <c r="O34" s="20"/>
      <c r="P34" s="20"/>
      <c r="Q34" s="20"/>
      <c r="R34" s="20"/>
      <c r="S34" s="20"/>
      <c r="T34" s="20"/>
      <c r="U34" s="20"/>
      <c r="V34" s="20"/>
      <c r="W34" s="20"/>
      <c r="X34" s="20"/>
      <c r="Y34" s="20"/>
      <c r="Z34" s="20"/>
      <c r="AA34" s="20"/>
    </row>
    <row r="35" spans="2:27" ht="34.799999999999997" x14ac:dyDescent="0.55000000000000004">
      <c r="B35" s="20"/>
      <c r="C35" s="20"/>
      <c r="D35" s="20" t="s">
        <v>22</v>
      </c>
      <c r="E35" s="20" t="s">
        <v>25</v>
      </c>
      <c r="F35" s="20"/>
      <c r="G35" s="20"/>
      <c r="H35" s="20"/>
      <c r="I35" s="20"/>
      <c r="J35" s="20"/>
      <c r="K35" s="20"/>
      <c r="L35" s="20"/>
      <c r="M35" s="20"/>
      <c r="N35" s="20"/>
      <c r="O35" s="20"/>
      <c r="P35" s="20"/>
      <c r="Q35" s="20"/>
      <c r="R35" s="20"/>
      <c r="S35" s="20"/>
      <c r="T35" s="20"/>
      <c r="U35" s="20"/>
      <c r="V35" s="20"/>
      <c r="W35" s="20"/>
      <c r="X35" s="20"/>
      <c r="Y35" s="20"/>
      <c r="Z35" s="20"/>
      <c r="AA35" s="20"/>
    </row>
    <row r="36" spans="2:27" ht="34.799999999999997" x14ac:dyDescent="0.55000000000000004">
      <c r="B36" s="20"/>
      <c r="C36" s="20"/>
      <c r="D36" s="20" t="s">
        <v>22</v>
      </c>
      <c r="E36" s="20" t="s">
        <v>26</v>
      </c>
      <c r="F36" s="20"/>
      <c r="G36" s="20"/>
      <c r="H36" s="20"/>
      <c r="I36" s="20"/>
      <c r="J36" s="20"/>
      <c r="K36" s="20"/>
      <c r="L36" s="20"/>
      <c r="M36" s="20"/>
      <c r="N36" s="20"/>
      <c r="O36" s="20"/>
      <c r="P36" s="20"/>
      <c r="Q36" s="20"/>
      <c r="R36" s="20"/>
      <c r="S36" s="20"/>
      <c r="T36" s="20"/>
      <c r="U36" s="20"/>
      <c r="V36" s="20"/>
      <c r="W36" s="20"/>
      <c r="X36" s="20"/>
      <c r="Y36" s="20"/>
      <c r="Z36" s="20"/>
      <c r="AA36" s="20"/>
    </row>
    <row r="37" spans="2:27" ht="34.799999999999997" x14ac:dyDescent="0.55000000000000004">
      <c r="D37" s="20" t="s">
        <v>22</v>
      </c>
      <c r="E37" s="20" t="s">
        <v>29</v>
      </c>
    </row>
    <row r="38" spans="2:27" ht="22.8" x14ac:dyDescent="0.4">
      <c r="D38" s="21"/>
    </row>
  </sheetData>
  <mergeCells count="45">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M10:P10"/>
    <mergeCell ref="D11:E11"/>
    <mergeCell ref="F11:F12"/>
    <mergeCell ref="G11:H11"/>
    <mergeCell ref="I11:I12"/>
    <mergeCell ref="J11:K11"/>
    <mergeCell ref="L11:L12"/>
    <mergeCell ref="M12:P12"/>
    <mergeCell ref="A10:B12"/>
    <mergeCell ref="C10:L10"/>
    <mergeCell ref="F1:G1"/>
    <mergeCell ref="H1:J1"/>
    <mergeCell ref="F2:G2"/>
    <mergeCell ref="H2:J2"/>
    <mergeCell ref="F3:G3"/>
    <mergeCell ref="H3:J3"/>
    <mergeCell ref="F4:G4"/>
    <mergeCell ref="H4:J4"/>
    <mergeCell ref="D9:E9"/>
    <mergeCell ref="F5:G5"/>
    <mergeCell ref="H5:J5"/>
  </mergeCells>
  <dataValidations disablePrompts="1" count="1">
    <dataValidation type="list" allowBlank="1" showInputMessage="1" showErrorMessage="1" sqref="D12 G12 J12">
      <formula1>$S$11:$S$12</formula1>
    </dataValidation>
  </dataValidations>
  <pageMargins left="0.75" right="0.75" top="1" bottom="1" header="0.5" footer="0.5"/>
  <pageSetup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
  <sheetViews>
    <sheetView workbookViewId="0"/>
  </sheetViews>
  <sheetFormatPr defaultRowHeight="13.2" x14ac:dyDescent="0.25"/>
  <cols>
    <col min="3" max="3" width="18.44140625" bestFit="1" customWidth="1"/>
    <col min="4" max="5" width="20" bestFit="1" customWidth="1"/>
    <col min="6" max="6" width="18.44140625" bestFit="1" customWidth="1"/>
    <col min="7" max="10" width="20" bestFit="1" customWidth="1"/>
  </cols>
  <sheetData>
    <row r="1" spans="1:10" x14ac:dyDescent="0.25">
      <c r="A1" s="34" t="s">
        <v>34</v>
      </c>
      <c r="B1" s="34" t="s">
        <v>35</v>
      </c>
      <c r="C1" s="1"/>
      <c r="D1" s="1"/>
      <c r="E1" s="1"/>
      <c r="F1" s="1"/>
      <c r="G1" s="1"/>
      <c r="H1" s="1"/>
      <c r="I1" s="1"/>
      <c r="J1" s="1"/>
    </row>
    <row r="2" spans="1:10" x14ac:dyDescent="0.25">
      <c r="A2" s="33">
        <v>2</v>
      </c>
      <c r="B2" s="41">
        <f>'Comparison Table'!B13</f>
        <v>397</v>
      </c>
      <c r="C2" s="1"/>
      <c r="D2" s="1"/>
      <c r="E2" s="1"/>
      <c r="F2" s="1"/>
      <c r="G2" s="1"/>
      <c r="H2" s="1"/>
      <c r="I2" s="1"/>
      <c r="J2" s="1"/>
    </row>
    <row r="3" spans="1:10" x14ac:dyDescent="0.25">
      <c r="A3" s="33">
        <v>5</v>
      </c>
      <c r="B3" s="41">
        <f>'Comparison Table'!B14</f>
        <v>830</v>
      </c>
      <c r="C3" s="1"/>
      <c r="D3" s="1"/>
      <c r="E3" s="1"/>
      <c r="F3" s="1"/>
      <c r="G3" s="1"/>
      <c r="H3" s="1"/>
      <c r="I3" s="1"/>
      <c r="J3" s="1"/>
    </row>
    <row r="4" spans="1:10" x14ac:dyDescent="0.25">
      <c r="A4" s="33">
        <v>10</v>
      </c>
      <c r="B4" s="41">
        <f>'Comparison Table'!B15</f>
        <v>1260</v>
      </c>
      <c r="C4" s="1"/>
      <c r="D4" s="1"/>
      <c r="E4" s="1"/>
      <c r="F4" s="1"/>
      <c r="G4" s="1"/>
      <c r="H4" s="1"/>
      <c r="I4" s="1"/>
      <c r="J4" s="1"/>
    </row>
    <row r="5" spans="1:10" x14ac:dyDescent="0.25">
      <c r="A5" s="33">
        <v>25</v>
      </c>
      <c r="B5" s="41">
        <f>'Comparison Table'!B16</f>
        <v>1980</v>
      </c>
      <c r="C5" s="1"/>
      <c r="D5" s="1"/>
      <c r="E5" s="1"/>
      <c r="F5" s="1"/>
      <c r="G5" s="1"/>
      <c r="H5" s="1"/>
      <c r="I5" s="1"/>
      <c r="J5" s="1"/>
    </row>
    <row r="6" spans="1:10" x14ac:dyDescent="0.25">
      <c r="A6" s="33">
        <v>50</v>
      </c>
      <c r="B6" s="41">
        <f>'Comparison Table'!B17</f>
        <v>2490</v>
      </c>
      <c r="C6" s="1"/>
      <c r="D6" s="1"/>
      <c r="E6" s="1"/>
      <c r="F6" s="1"/>
      <c r="G6" s="1"/>
      <c r="H6" s="1"/>
      <c r="I6" s="1"/>
      <c r="J6" s="1"/>
    </row>
    <row r="7" spans="1:10" x14ac:dyDescent="0.25">
      <c r="A7" s="33">
        <v>100</v>
      </c>
      <c r="B7" s="41">
        <f>'Comparison Table'!B18</f>
        <v>3140</v>
      </c>
      <c r="C7" s="76" t="str">
        <f>'Comparison Table'!D21</f>
        <v>Overtopping Q (cfs) ≈</v>
      </c>
      <c r="D7" s="74"/>
      <c r="E7" s="75"/>
      <c r="F7" s="76" t="str">
        <f>'Comparison Table'!D22</f>
        <v>Overtopping Freq (yr) ≈</v>
      </c>
      <c r="G7" s="74"/>
      <c r="H7" s="75"/>
      <c r="I7" s="74" t="str">
        <f>'Comparison Table'!M10</f>
        <v>Velocity (FPS)</v>
      </c>
      <c r="J7" s="75"/>
    </row>
    <row r="8" spans="1:10" ht="39.6" x14ac:dyDescent="0.25">
      <c r="A8" s="33">
        <v>500</v>
      </c>
      <c r="B8" s="41">
        <f>'Comparison Table'!B19</f>
        <v>4910</v>
      </c>
      <c r="C8" s="51" t="str">
        <f>'Comparison Table'!D11</f>
        <v>Existing 40'-50'-40' Conc Girder Spans</v>
      </c>
      <c r="D8" s="51" t="str">
        <f>'Comparison Table'!G11</f>
        <v>Proposed Alternative 60'-70'-60' PCB TIII Spans</v>
      </c>
      <c r="E8" s="51" t="str">
        <f>'Comparison Table'!J11</f>
        <v>Proposed 20'x17' RCB Turned 6 Deg</v>
      </c>
      <c r="F8" s="51" t="str">
        <f>'Comparison Table'!D11</f>
        <v>Existing 40'-50'-40' Conc Girder Spans</v>
      </c>
      <c r="G8" s="51" t="str">
        <f>'Comparison Table'!G11</f>
        <v>Proposed Alternative 60'-70'-60' PCB TIII Spans</v>
      </c>
      <c r="H8" s="51" t="str">
        <f>'Comparison Table'!J11</f>
        <v>Proposed 20'x17' RCB Turned 6 Deg</v>
      </c>
      <c r="I8" s="51" t="str">
        <f>'Comparison Table'!O11</f>
        <v>Proposed Alternative 60'-70'-60' PCB TIII Spans</v>
      </c>
      <c r="J8" s="51" t="str">
        <f>'Comparison Table'!P11</f>
        <v>Proposed 20'x17' RCB Turned 6 Deg</v>
      </c>
    </row>
    <row r="9" spans="1:10" x14ac:dyDescent="0.25">
      <c r="A9" s="33"/>
      <c r="B9" s="33"/>
      <c r="C9" s="33" t="e">
        <f ca="1">FORECAST('Comparison Table'!$E20,OFFSET($B$2:$B$8,MATCH('Comparison Table'!$E20,'Comparison Table'!$D$13:$D$19,1)-1,0,2),OFFSET('Comparison Table'!$D$13:$D$19,MATCH('Comparison Table'!$E20,'Comparison Table'!$D$13:$D$19,1)-1,0,2))</f>
        <v>#DIV/0!</v>
      </c>
      <c r="D9" s="33">
        <f ca="1">FORECAST('Comparison Table'!$H20,OFFSET($B$2:$B$8,MATCH('Comparison Table'!$H20,'Comparison Table'!$G$13:$G$19,1)-1,0,2),OFFSET('Comparison Table'!$G$13:$G$19,MATCH('Comparison Table'!$H20,'Comparison Table'!$G$13:$G$19,1)-1,0,2))</f>
        <v>2077.1428571428405</v>
      </c>
      <c r="E9" s="33" t="e">
        <f ca="1">FORECAST('Comparison Table'!$K20,OFFSET($B$2:$B$8,MATCH('Comparison Table'!$K20,'Comparison Table'!$J$13:$J$19,1)-1,0,2),OFFSET('Comparison Table'!$J$13:$J$19,MATCH('Comparison Table'!$K20,'Comparison Table'!$J$13:$J$19,1)-1,0,2))</f>
        <v>#N/A</v>
      </c>
      <c r="F9" s="33" t="e">
        <f ca="1">FORECAST('Comparison Table'!$E20,OFFSET($A$2:$A$8,MATCH('Comparison Table'!$E20,'Comparison Table'!$D$13:$D$19,1)-1,0,2),OFFSET('Comparison Table'!$D$13:$D$19,MATCH('Comparison Table'!$E20,'Comparison Table'!$D$13:$D$19,1)-1,0,2))</f>
        <v>#DIV/0!</v>
      </c>
      <c r="G9" s="33">
        <f ca="1">FORECAST('Comparison Table'!$H20,OFFSET($A$2:$A$8,MATCH('Comparison Table'!$H20,'Comparison Table'!$G$13:$G$19,1)-1,0,2),OFFSET('Comparison Table'!$G$13:$G$19,MATCH('Comparison Table'!$H20,'Comparison Table'!$G$13:$G$19,1)-1,0,2))</f>
        <v>29.761904761904589</v>
      </c>
      <c r="H9" s="33" t="e">
        <f ca="1">FORECAST('Comparison Table'!$K20,OFFSET($A$2:$A$8,MATCH('Comparison Table'!$K20,'Comparison Table'!$J$13:$J$19,1)-1,0,2),OFFSET('Comparison Table'!$J$13:$J$19,MATCH('Comparison Table'!$K20,'Comparison Table'!$J$13:$J$19,1)-1,0,2))</f>
        <v>#N/A</v>
      </c>
      <c r="I9" s="33">
        <f ca="1">FORECAST('Comparison Table'!$H20,OFFSET('Comparison Table'!$O$13:$O$19,MATCH('Comparison Table'!$H20,'Comparison Table'!$G$13:$G$19,1)-1,0,2),OFFSET('Comparison Table'!$G$13:$G$19,MATCH('Comparison Table'!$H20,'Comparison Table'!$G$13:$G$19,1)-1,0,2))</f>
        <v>7.6652380952380099</v>
      </c>
      <c r="J9" s="33" t="e">
        <f ca="1">FORECAST('Comparison Table'!$K20,OFFSET('Comparison Table'!$P$13:$P$19,MATCH('Comparison Table'!$K20,'Comparison Table'!$J$13:$J$19,1)-1,0,2),OFFSET('Comparison Table'!$J$13:$J$19,MATCH('Comparison Table'!$K20,'Comparison Table'!$J$13:$J$19,1)-1,0,2))</f>
        <v>#N/A</v>
      </c>
    </row>
    <row r="10" spans="1:10" x14ac:dyDescent="0.25">
      <c r="A10" s="1"/>
      <c r="B10" s="1"/>
      <c r="C10" s="1"/>
      <c r="D10" s="1"/>
      <c r="E10" s="1"/>
      <c r="F10" s="1"/>
      <c r="G10" s="1"/>
      <c r="H10" s="1"/>
      <c r="I10" s="39">
        <f ca="1">ROUND(I9,2)</f>
        <v>7.67</v>
      </c>
      <c r="J10" s="40" t="e">
        <f ca="1">ROUND(J9,2)</f>
        <v>#N/A</v>
      </c>
    </row>
    <row r="11" spans="1:10" x14ac:dyDescent="0.25">
      <c r="C11" t="str">
        <f ca="1">IF(ISNA(C9),CONCATENATE("&lt; ",TEXT('Comparison Table'!$B$13,"0")),IF(ISERROR(C9),CONCATENATE("&gt;= ",TEXT('Comparison Table'!$B$19,"0")),C9))</f>
        <v>&gt;= 4910</v>
      </c>
      <c r="D11">
        <f ca="1">IF(ISNA(D9),CONCATENATE("&lt; ",TEXT('Comparison Table'!$B$13,"0")),IF(ISERROR(D9),CONCATENATE("&gt;= ",TEXT('Comparison Table'!$B$19,"0")),D9))</f>
        <v>2077.1428571428405</v>
      </c>
      <c r="E11" t="str">
        <f ca="1">IF(ISNA(E9),CONCATENATE("&lt; ",TEXT('Comparison Table'!$B$13,"0")),IF(ISERROR(E9),CONCATENATE("&gt;= ",TEXT('Comparison Table'!$B$19,"0")),E9))</f>
        <v>&lt; 397</v>
      </c>
      <c r="F11" t="str">
        <f ca="1">IF(ISNA(F9),"&lt; 2",IF(ISERROR(F9),"&gt;= 500",F9))</f>
        <v>&gt;= 500</v>
      </c>
      <c r="G11">
        <f ca="1">IF(ISNA(G9),"&lt; 2",IF(ISERROR(G9),"&gt;= 500",G9))</f>
        <v>29.761904761904589</v>
      </c>
      <c r="H11" t="str">
        <f ca="1">IF(ISNA(H9),"&lt; 2",IF(ISERROR(H9),"&gt;= 500",H9))</f>
        <v>&lt; 2</v>
      </c>
    </row>
  </sheetData>
  <mergeCells count="3">
    <mergeCell ref="I7:J7"/>
    <mergeCell ref="F7:H7"/>
    <mergeCell ref="C7:E7"/>
  </mergeCells>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Comparison Table</vt:lpstr>
      <vt:lpstr>Stage Discharge</vt:lpstr>
      <vt:lpstr>With FEMA</vt:lpstr>
      <vt:lpstr>Proposed Velocities</vt:lpstr>
      <vt:lpstr>'Comparison Table'!Print_Area</vt:lpstr>
      <vt:lpstr>'With FEMA'!Print_Area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Ryanne Ototivo</dc:creator>
  <cp:lastModifiedBy>OMES</cp:lastModifiedBy>
  <cp:lastPrinted>2018-08-09T18:40:25Z</cp:lastPrinted>
  <dcterms:created xsi:type="dcterms:W3CDTF">1996-10-14T23:33:28Z</dcterms:created>
  <dcterms:modified xsi:type="dcterms:W3CDTF">2019-01-10T16:27:58Z</dcterms:modified>
</cp:coreProperties>
</file>