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hirsc\OneDrive\Documents\"/>
    </mc:Choice>
  </mc:AlternateContent>
  <xr:revisionPtr revIDLastSave="0" documentId="8_{F05B62D4-3B2C-4639-AE2C-539CEF6C7129}" xr6:coauthVersionLast="45" xr6:coauthVersionMax="45" xr10:uidLastSave="{00000000-0000-0000-0000-000000000000}"/>
  <bookViews>
    <workbookView xWindow="-108" yWindow="-108" windowWidth="23256" windowHeight="12576" firstSheet="3" activeTab="8" xr2:uid="{D9592330-F94D-418B-A55C-A04D45C285FD}"/>
  </bookViews>
  <sheets>
    <sheet name="Costs" sheetId="1" r:id="rId1"/>
    <sheet name="Look up Table" sheetId="5" r:id="rId2"/>
    <sheet name="Travel Delay Reductions" sheetId="8" r:id="rId3"/>
    <sheet name="Travel Time Benefits" sheetId="2" r:id="rId4"/>
    <sheet name="Accident Reductions" sheetId="6" r:id="rId5"/>
    <sheet name="Monetized Safety Benefits" sheetId="7" r:id="rId6"/>
    <sheet name="Sheet2" sheetId="10" state="hidden" r:id="rId7"/>
    <sheet name="Sheet1" sheetId="9" state="hidden" r:id="rId8"/>
    <sheet name="Benefit Cost Results" sheetId="3"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3" l="1"/>
  <c r="B25" i="3"/>
  <c r="B24"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B19" i="3"/>
  <c r="AI24" i="3"/>
  <c r="AI19" i="3"/>
  <c r="AI7" i="3"/>
  <c r="AI6" i="3"/>
  <c r="AI9" i="3" s="1"/>
  <c r="AI5" i="3"/>
  <c r="AA11" i="2"/>
  <c r="AA9" i="2"/>
  <c r="AA8" i="2"/>
  <c r="V11" i="2"/>
  <c r="V9" i="2"/>
  <c r="V8" i="2"/>
  <c r="Q11" i="2"/>
  <c r="Q9" i="2"/>
  <c r="Q8" i="2"/>
  <c r="L11" i="2"/>
  <c r="L9" i="2"/>
  <c r="L8" i="2"/>
  <c r="G11" i="2"/>
  <c r="G9" i="2"/>
  <c r="G8" i="2"/>
  <c r="B11" i="2"/>
  <c r="B9" i="2"/>
  <c r="B10" i="2"/>
  <c r="B8" i="2"/>
  <c r="K35" i="5"/>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5" i="5" s="1"/>
  <c r="AI35" i="5" s="1"/>
  <c r="AJ35" i="5" s="1"/>
  <c r="AK35" i="5" s="1"/>
  <c r="AL35" i="5" s="1"/>
  <c r="AM35" i="5" s="1"/>
  <c r="AN35" i="5" s="1"/>
  <c r="AO35" i="5" s="1"/>
  <c r="AP35" i="5" s="1"/>
  <c r="AQ35" i="5" s="1"/>
  <c r="AR35" i="5" s="1"/>
  <c r="AS35" i="5" s="1"/>
  <c r="AT35" i="5" s="1"/>
  <c r="AU35" i="5" s="1"/>
  <c r="AV35" i="5" s="1"/>
  <c r="AW35" i="5" s="1"/>
  <c r="AX35" i="5" s="1"/>
  <c r="AY35" i="5" s="1"/>
  <c r="AZ35" i="5" s="1"/>
  <c r="J35" i="5"/>
  <c r="J34" i="5"/>
  <c r="K34" i="5" s="1"/>
  <c r="L34" i="5" s="1"/>
  <c r="M34" i="5" s="1"/>
  <c r="N34" i="5" s="1"/>
  <c r="O34" i="5" s="1"/>
  <c r="P34" i="5" s="1"/>
  <c r="Q34" i="5" s="1"/>
  <c r="R34" i="5" s="1"/>
  <c r="S34" i="5" s="1"/>
  <c r="T34" i="5" s="1"/>
  <c r="U34" i="5" s="1"/>
  <c r="V34" i="5" s="1"/>
  <c r="W34" i="5" s="1"/>
  <c r="X34" i="5" s="1"/>
  <c r="Y34" i="5" s="1"/>
  <c r="Z34" i="5" s="1"/>
  <c r="AA34" i="5" s="1"/>
  <c r="AB34" i="5" s="1"/>
  <c r="AC34" i="5" s="1"/>
  <c r="AD34" i="5" s="1"/>
  <c r="AE34" i="5" s="1"/>
  <c r="AF34" i="5" s="1"/>
  <c r="AG34" i="5" s="1"/>
  <c r="AH34" i="5" s="1"/>
  <c r="AI34" i="5" s="1"/>
  <c r="AJ34" i="5" s="1"/>
  <c r="AK34" i="5" s="1"/>
  <c r="AL34" i="5" s="1"/>
  <c r="AM34" i="5" s="1"/>
  <c r="AN34" i="5" s="1"/>
  <c r="AO34" i="5" s="1"/>
  <c r="AP34" i="5" s="1"/>
  <c r="AQ34" i="5" s="1"/>
  <c r="AR34" i="5" s="1"/>
  <c r="AS34" i="5" s="1"/>
  <c r="AT34" i="5" s="1"/>
  <c r="AU34" i="5" s="1"/>
  <c r="AV34" i="5" s="1"/>
  <c r="AW34" i="5" s="1"/>
  <c r="AX34" i="5" s="1"/>
  <c r="AY34" i="5" s="1"/>
  <c r="AZ34" i="5" s="1"/>
  <c r="J33" i="5"/>
  <c r="K33" i="5" s="1"/>
  <c r="L33" i="5" s="1"/>
  <c r="M33" i="5" s="1"/>
  <c r="N33" i="5" s="1"/>
  <c r="O33" i="5" s="1"/>
  <c r="P33" i="5" s="1"/>
  <c r="Q33" i="5" s="1"/>
  <c r="R33" i="5" s="1"/>
  <c r="S33" i="5" s="1"/>
  <c r="T33" i="5" s="1"/>
  <c r="U33" i="5" s="1"/>
  <c r="V33" i="5" s="1"/>
  <c r="W33" i="5" s="1"/>
  <c r="X33" i="5" s="1"/>
  <c r="Y33" i="5" s="1"/>
  <c r="Z33" i="5" s="1"/>
  <c r="AA33" i="5" s="1"/>
  <c r="AB33" i="5" s="1"/>
  <c r="AC33" i="5" s="1"/>
  <c r="AD33" i="5" s="1"/>
  <c r="AE33" i="5" s="1"/>
  <c r="AF33" i="5" s="1"/>
  <c r="AG33" i="5" s="1"/>
  <c r="AH33" i="5" s="1"/>
  <c r="AI33" i="5" s="1"/>
  <c r="AJ33" i="5" s="1"/>
  <c r="AK33" i="5" s="1"/>
  <c r="AL33" i="5" s="1"/>
  <c r="AM33" i="5" s="1"/>
  <c r="AN33" i="5" s="1"/>
  <c r="AO33" i="5" s="1"/>
  <c r="AP33" i="5" s="1"/>
  <c r="AQ33" i="5" s="1"/>
  <c r="AR33" i="5" s="1"/>
  <c r="AS33" i="5" s="1"/>
  <c r="AT33" i="5" s="1"/>
  <c r="AU33" i="5" s="1"/>
  <c r="AV33" i="5" s="1"/>
  <c r="AW33" i="5" s="1"/>
  <c r="AX33" i="5" s="1"/>
  <c r="AY33" i="5" s="1"/>
  <c r="AZ33" i="5" s="1"/>
  <c r="I35" i="5"/>
  <c r="I34" i="5"/>
  <c r="I33" i="5"/>
  <c r="H35" i="5"/>
  <c r="H34" i="5"/>
  <c r="H33" i="5"/>
  <c r="J24" i="5"/>
  <c r="K24" i="5" s="1"/>
  <c r="L24" i="5" s="1"/>
  <c r="M24" i="5" s="1"/>
  <c r="N24" i="5" s="1"/>
  <c r="O24" i="5" s="1"/>
  <c r="P24" i="5" s="1"/>
  <c r="Q24" i="5" s="1"/>
  <c r="R24" i="5" s="1"/>
  <c r="S24" i="5" s="1"/>
  <c r="T24" i="5" s="1"/>
  <c r="U24" i="5" s="1"/>
  <c r="V24" i="5" s="1"/>
  <c r="W24" i="5" s="1"/>
  <c r="X24" i="5" s="1"/>
  <c r="Y24" i="5" s="1"/>
  <c r="Z24" i="5" s="1"/>
  <c r="AA24" i="5" s="1"/>
  <c r="AB24" i="5" s="1"/>
  <c r="AC24" i="5" s="1"/>
  <c r="AD24" i="5" s="1"/>
  <c r="AE24" i="5" s="1"/>
  <c r="AF24" i="5" s="1"/>
  <c r="AG24" i="5" s="1"/>
  <c r="AH24" i="5" s="1"/>
  <c r="AI24" i="5" s="1"/>
  <c r="AJ24" i="5" s="1"/>
  <c r="AK24" i="5" s="1"/>
  <c r="AL24" i="5" s="1"/>
  <c r="AM24" i="5" s="1"/>
  <c r="AN24" i="5" s="1"/>
  <c r="AO24" i="5" s="1"/>
  <c r="AP24" i="5" s="1"/>
  <c r="AQ24" i="5" s="1"/>
  <c r="AR24" i="5" s="1"/>
  <c r="AS24" i="5" s="1"/>
  <c r="AT24" i="5" s="1"/>
  <c r="AU24" i="5" s="1"/>
  <c r="AV24" i="5" s="1"/>
  <c r="AW24" i="5" s="1"/>
  <c r="AX24" i="5" s="1"/>
  <c r="AY24" i="5" s="1"/>
  <c r="AZ24" i="5" s="1"/>
  <c r="I24" i="5"/>
  <c r="B7" i="7"/>
  <c r="H30" i="5"/>
  <c r="H29" i="5"/>
  <c r="H28" i="5"/>
  <c r="H27" i="5"/>
  <c r="H26" i="5"/>
  <c r="B5" i="5"/>
  <c r="AI11" i="3" l="1"/>
  <c r="B9" i="6"/>
  <c r="B8" i="6"/>
  <c r="B7" i="6"/>
  <c r="B6" i="6"/>
  <c r="B5" i="6"/>
  <c r="B13" i="3" l="1"/>
  <c r="B23" i="3"/>
  <c r="B22" i="3"/>
  <c r="B21" i="3"/>
  <c r="H38" i="8"/>
  <c r="H37" i="8"/>
  <c r="I37" i="8" s="1"/>
  <c r="I42" i="8" s="1"/>
  <c r="H36" i="8"/>
  <c r="G36" i="8" s="1"/>
  <c r="G41" i="8" s="1"/>
  <c r="G45" i="8" s="1"/>
  <c r="L10" i="2"/>
  <c r="C5" i="2"/>
  <c r="D5" i="2" s="1"/>
  <c r="E5" i="2" s="1"/>
  <c r="F5" i="2" s="1"/>
  <c r="G5" i="2" s="1"/>
  <c r="H5" i="2" s="1"/>
  <c r="I5" i="2" s="1"/>
  <c r="J5" i="2" s="1"/>
  <c r="K5" i="2" s="1"/>
  <c r="L5" i="2" s="1"/>
  <c r="M5" i="2" s="1"/>
  <c r="N5" i="2" s="1"/>
  <c r="O5" i="2" s="1"/>
  <c r="P5" i="2" s="1"/>
  <c r="Q5" i="2" s="1"/>
  <c r="R5" i="2" s="1"/>
  <c r="S5" i="2" s="1"/>
  <c r="T5" i="2" s="1"/>
  <c r="U5" i="2" s="1"/>
  <c r="V5" i="2" s="1"/>
  <c r="W5" i="2" s="1"/>
  <c r="X5" i="2" s="1"/>
  <c r="Y5" i="2" s="1"/>
  <c r="Z5" i="2" s="1"/>
  <c r="AA5" i="2" s="1"/>
  <c r="I38" i="8"/>
  <c r="I43" i="8" s="1"/>
  <c r="G38" i="8"/>
  <c r="G43" i="8" s="1"/>
  <c r="F38" i="8"/>
  <c r="F43" i="8" s="1"/>
  <c r="E38" i="8"/>
  <c r="E43" i="8" s="1"/>
  <c r="D38" i="8"/>
  <c r="D43" i="8" s="1"/>
  <c r="B20" i="3" l="1"/>
  <c r="F37" i="8"/>
  <c r="F42" i="8" s="1"/>
  <c r="D37" i="8"/>
  <c r="D42" i="8" s="1"/>
  <c r="G37" i="8"/>
  <c r="G42" i="8" s="1"/>
  <c r="M9" i="2" s="1"/>
  <c r="N9" i="2" s="1"/>
  <c r="O9" i="2" s="1"/>
  <c r="P9" i="2" s="1"/>
  <c r="E37" i="8"/>
  <c r="E42" i="8" s="1"/>
  <c r="C9" i="2" s="1"/>
  <c r="D9" i="2" s="1"/>
  <c r="E9" i="2" s="1"/>
  <c r="F9" i="2" s="1"/>
  <c r="M11" i="2"/>
  <c r="N11" i="2" s="1"/>
  <c r="O11" i="2" s="1"/>
  <c r="P11" i="2" s="1"/>
  <c r="D36" i="8"/>
  <c r="D41" i="8" s="1"/>
  <c r="D45" i="8" s="1"/>
  <c r="E36" i="8"/>
  <c r="E41" i="8" s="1"/>
  <c r="E45" i="8" s="1"/>
  <c r="I36" i="8"/>
  <c r="I41" i="8" s="1"/>
  <c r="I45" i="8" s="1"/>
  <c r="F36" i="8"/>
  <c r="F41" i="8" s="1"/>
  <c r="F45" i="8" s="1"/>
  <c r="H11" i="2"/>
  <c r="I11" i="2" s="1"/>
  <c r="J11" i="2" s="1"/>
  <c r="K11" i="2" s="1"/>
  <c r="C11" i="2"/>
  <c r="H43" i="8"/>
  <c r="W11" i="2" s="1"/>
  <c r="X11" i="2" s="1"/>
  <c r="H42" i="8"/>
  <c r="W9" i="2" s="1"/>
  <c r="X9" i="2" s="1"/>
  <c r="Y9" i="2" s="1"/>
  <c r="Z9" i="2" s="1"/>
  <c r="H41" i="8"/>
  <c r="H45" i="8" s="1"/>
  <c r="H9" i="2" l="1"/>
  <c r="I9" i="2" s="1"/>
  <c r="J9" i="2" s="1"/>
  <c r="K9" i="2" s="1"/>
  <c r="M8" i="2"/>
  <c r="N8" i="2" s="1"/>
  <c r="O8" i="2" s="1"/>
  <c r="P8" i="2" s="1"/>
  <c r="L14" i="2"/>
  <c r="Y11" i="2"/>
  <c r="Z11" i="2" s="1"/>
  <c r="R11" i="2"/>
  <c r="S11" i="2" s="1"/>
  <c r="T11" i="2" s="1"/>
  <c r="U11" i="2" s="1"/>
  <c r="L13" i="2"/>
  <c r="R9" i="2"/>
  <c r="S9" i="2" s="1"/>
  <c r="T9" i="2" s="1"/>
  <c r="U9" i="2" s="1"/>
  <c r="W8" i="2"/>
  <c r="X8" i="2" s="1"/>
  <c r="H8" i="2"/>
  <c r="I8" i="2" s="1"/>
  <c r="J8" i="2" s="1"/>
  <c r="K8" i="2" s="1"/>
  <c r="C8" i="2"/>
  <c r="D8" i="2" s="1"/>
  <c r="E8" i="2" s="1"/>
  <c r="R8" i="2"/>
  <c r="S8" i="2" s="1"/>
  <c r="T8" i="2" s="1"/>
  <c r="D11" i="2"/>
  <c r="E11" i="2" s="1"/>
  <c r="F11" i="2" s="1"/>
  <c r="I28" i="5"/>
  <c r="J28" i="5" s="1"/>
  <c r="K28" i="5" s="1"/>
  <c r="L28" i="5" s="1"/>
  <c r="M28" i="5" s="1"/>
  <c r="N28" i="5" s="1"/>
  <c r="O28" i="5" s="1"/>
  <c r="P28" i="5" s="1"/>
  <c r="Q28" i="5" s="1"/>
  <c r="R28" i="5" s="1"/>
  <c r="S28" i="5" s="1"/>
  <c r="T28" i="5" s="1"/>
  <c r="U28" i="5" s="1"/>
  <c r="V28" i="5" s="1"/>
  <c r="W28" i="5" s="1"/>
  <c r="X28" i="5" s="1"/>
  <c r="Y28" i="5" s="1"/>
  <c r="Z28" i="5" s="1"/>
  <c r="AA28" i="5" s="1"/>
  <c r="AB28" i="5" s="1"/>
  <c r="AC28" i="5" s="1"/>
  <c r="AD28" i="5" s="1"/>
  <c r="AE28" i="5" s="1"/>
  <c r="AF28" i="5" s="1"/>
  <c r="AG28" i="5" s="1"/>
  <c r="AH28" i="5" s="1"/>
  <c r="AI28" i="5" s="1"/>
  <c r="AJ28" i="5" s="1"/>
  <c r="AK28" i="5" s="1"/>
  <c r="AL28" i="5" s="1"/>
  <c r="AM28" i="5" s="1"/>
  <c r="AN28" i="5" s="1"/>
  <c r="AO28" i="5" s="1"/>
  <c r="AP28" i="5" s="1"/>
  <c r="AQ28" i="5" s="1"/>
  <c r="AR28" i="5" s="1"/>
  <c r="AS28" i="5" s="1"/>
  <c r="AT28" i="5" s="1"/>
  <c r="AU28" i="5" s="1"/>
  <c r="AV28" i="5" s="1"/>
  <c r="AW28" i="5" s="1"/>
  <c r="AX28" i="5" s="1"/>
  <c r="AY28" i="5" s="1"/>
  <c r="AZ28" i="5" s="1"/>
  <c r="I27" i="5"/>
  <c r="J27" i="5" s="1"/>
  <c r="K27" i="5" s="1"/>
  <c r="L27" i="5" s="1"/>
  <c r="M27" i="5" s="1"/>
  <c r="N27" i="5" s="1"/>
  <c r="O27" i="5" s="1"/>
  <c r="P27" i="5" s="1"/>
  <c r="Q27" i="5" s="1"/>
  <c r="R27" i="5" s="1"/>
  <c r="S27" i="5" s="1"/>
  <c r="T27" i="5" s="1"/>
  <c r="U27" i="5" s="1"/>
  <c r="V27" i="5" s="1"/>
  <c r="W27" i="5" s="1"/>
  <c r="X27" i="5" s="1"/>
  <c r="Y27" i="5" s="1"/>
  <c r="Z27" i="5" s="1"/>
  <c r="AA27" i="5" s="1"/>
  <c r="AB27" i="5" s="1"/>
  <c r="AC27" i="5" s="1"/>
  <c r="AD27" i="5" s="1"/>
  <c r="AE27" i="5" s="1"/>
  <c r="AF27" i="5" s="1"/>
  <c r="AG27" i="5" s="1"/>
  <c r="AH27" i="5" s="1"/>
  <c r="AI27" i="5" s="1"/>
  <c r="AJ27" i="5" s="1"/>
  <c r="AK27" i="5" s="1"/>
  <c r="AL27" i="5" s="1"/>
  <c r="AM27" i="5" s="1"/>
  <c r="AN27" i="5" s="1"/>
  <c r="AO27" i="5" s="1"/>
  <c r="AP27" i="5" s="1"/>
  <c r="AQ27" i="5" s="1"/>
  <c r="AR27" i="5" s="1"/>
  <c r="AS27" i="5" s="1"/>
  <c r="AT27" i="5" s="1"/>
  <c r="AU27" i="5" s="1"/>
  <c r="AV27" i="5" s="1"/>
  <c r="AW27" i="5" s="1"/>
  <c r="AX27" i="5" s="1"/>
  <c r="AY27" i="5" s="1"/>
  <c r="AZ27" i="5" s="1"/>
  <c r="I30" i="5"/>
  <c r="J30" i="5" s="1"/>
  <c r="K30" i="5" s="1"/>
  <c r="L30" i="5" s="1"/>
  <c r="M30" i="5" s="1"/>
  <c r="N30" i="5" s="1"/>
  <c r="O30" i="5" s="1"/>
  <c r="P30" i="5" s="1"/>
  <c r="Q30" i="5" s="1"/>
  <c r="R30" i="5" s="1"/>
  <c r="S30" i="5" s="1"/>
  <c r="T30" i="5" s="1"/>
  <c r="U30" i="5" s="1"/>
  <c r="V30" i="5" s="1"/>
  <c r="W30" i="5" s="1"/>
  <c r="X30" i="5" s="1"/>
  <c r="Y30" i="5" s="1"/>
  <c r="Z30" i="5" s="1"/>
  <c r="AA30" i="5" s="1"/>
  <c r="AB30" i="5" s="1"/>
  <c r="AC30" i="5" s="1"/>
  <c r="AD30" i="5" s="1"/>
  <c r="AE30" i="5" s="1"/>
  <c r="AF30" i="5" s="1"/>
  <c r="AG30" i="5" s="1"/>
  <c r="AH30" i="5" s="1"/>
  <c r="AI30" i="5" s="1"/>
  <c r="AJ30" i="5" s="1"/>
  <c r="AK30" i="5" s="1"/>
  <c r="AL30" i="5" s="1"/>
  <c r="AM30" i="5" s="1"/>
  <c r="AN30" i="5" s="1"/>
  <c r="AO30" i="5" s="1"/>
  <c r="AP30" i="5" s="1"/>
  <c r="AQ30" i="5" s="1"/>
  <c r="AR30" i="5" s="1"/>
  <c r="AS30" i="5" s="1"/>
  <c r="AT30" i="5" s="1"/>
  <c r="AU30" i="5" s="1"/>
  <c r="AV30" i="5" s="1"/>
  <c r="AW30" i="5" s="1"/>
  <c r="AX30" i="5" s="1"/>
  <c r="AY30" i="5" s="1"/>
  <c r="AZ30" i="5" s="1"/>
  <c r="I29" i="5"/>
  <c r="J29" i="5" s="1"/>
  <c r="K29" i="5" s="1"/>
  <c r="L29" i="5" s="1"/>
  <c r="M29" i="5" s="1"/>
  <c r="N29" i="5" s="1"/>
  <c r="I26" i="5"/>
  <c r="J26" i="5" s="1"/>
  <c r="K26" i="5" s="1"/>
  <c r="L26" i="5" s="1"/>
  <c r="M26" i="5" s="1"/>
  <c r="N26" i="5" s="1"/>
  <c r="O26" i="5" s="1"/>
  <c r="P26" i="5" s="1"/>
  <c r="Q26" i="5" s="1"/>
  <c r="R26" i="5" s="1"/>
  <c r="S26" i="5" s="1"/>
  <c r="T26" i="5" s="1"/>
  <c r="U26" i="5" s="1"/>
  <c r="V26" i="5" s="1"/>
  <c r="W26" i="5" s="1"/>
  <c r="X26" i="5" s="1"/>
  <c r="Y26" i="5" s="1"/>
  <c r="Z26" i="5" s="1"/>
  <c r="AA26" i="5" s="1"/>
  <c r="AB26" i="5" s="1"/>
  <c r="AC26" i="5" s="1"/>
  <c r="AD26" i="5" s="1"/>
  <c r="AE26" i="5" s="1"/>
  <c r="AF26" i="5" s="1"/>
  <c r="AG26" i="5" s="1"/>
  <c r="AH26" i="5" s="1"/>
  <c r="AI26" i="5" s="1"/>
  <c r="AJ26" i="5" s="1"/>
  <c r="AK26" i="5" s="1"/>
  <c r="AL26" i="5" s="1"/>
  <c r="AM26" i="5" s="1"/>
  <c r="AN26" i="5" s="1"/>
  <c r="AO26" i="5" s="1"/>
  <c r="AP26" i="5" s="1"/>
  <c r="AQ26" i="5" s="1"/>
  <c r="AR26" i="5" s="1"/>
  <c r="AS26" i="5" s="1"/>
  <c r="AT26" i="5" s="1"/>
  <c r="AU26" i="5" s="1"/>
  <c r="AV26" i="5" s="1"/>
  <c r="AW26" i="5" s="1"/>
  <c r="AX26" i="5" s="1"/>
  <c r="AY26" i="5" s="1"/>
  <c r="AZ26" i="5" s="1"/>
  <c r="H18" i="5"/>
  <c r="I18" i="5" s="1"/>
  <c r="J18" i="5" s="1"/>
  <c r="K18" i="5" s="1"/>
  <c r="L18" i="5" s="1"/>
  <c r="M18" i="5" s="1"/>
  <c r="N18" i="5" s="1"/>
  <c r="O18" i="5" s="1"/>
  <c r="P18" i="5" s="1"/>
  <c r="Q18" i="5" s="1"/>
  <c r="R18" i="5" s="1"/>
  <c r="S18" i="5" s="1"/>
  <c r="T18" i="5" s="1"/>
  <c r="U18" i="5" s="1"/>
  <c r="V18" i="5" s="1"/>
  <c r="W18" i="5" s="1"/>
  <c r="X18" i="5" s="1"/>
  <c r="Y18" i="5" s="1"/>
  <c r="Z18" i="5" s="1"/>
  <c r="AA18" i="5" s="1"/>
  <c r="AB18" i="5" s="1"/>
  <c r="AC18" i="5" s="1"/>
  <c r="AD18" i="5" s="1"/>
  <c r="AE18" i="5" s="1"/>
  <c r="AF18" i="5" s="1"/>
  <c r="AG18" i="5" s="1"/>
  <c r="AH18" i="5" s="1"/>
  <c r="AI18" i="5" s="1"/>
  <c r="AJ18" i="5" s="1"/>
  <c r="AK18" i="5" s="1"/>
  <c r="AL18" i="5" s="1"/>
  <c r="AM18" i="5" s="1"/>
  <c r="AN18" i="5" s="1"/>
  <c r="AO18" i="5" s="1"/>
  <c r="AP18" i="5" s="1"/>
  <c r="AQ18" i="5" s="1"/>
  <c r="AR18" i="5" s="1"/>
  <c r="AS18" i="5" s="1"/>
  <c r="AT18" i="5" s="1"/>
  <c r="AU18" i="5" s="1"/>
  <c r="AV18" i="5" s="1"/>
  <c r="AW18" i="5" s="1"/>
  <c r="AX18" i="5" s="1"/>
  <c r="AY18" i="5" s="1"/>
  <c r="AZ18" i="5" s="1"/>
  <c r="H23" i="5"/>
  <c r="H22" i="5"/>
  <c r="H21" i="5"/>
  <c r="H20" i="5"/>
  <c r="H19" i="5"/>
  <c r="S4" i="7"/>
  <c r="T4" i="7" s="1"/>
  <c r="U4" i="7" s="1"/>
  <c r="V4" i="7" s="1"/>
  <c r="W4" i="7" s="1"/>
  <c r="X4" i="7" s="1"/>
  <c r="Y4" i="7" s="1"/>
  <c r="Z4" i="7" s="1"/>
  <c r="AA4" i="7" s="1"/>
  <c r="D4" i="7"/>
  <c r="E4" i="7" s="1"/>
  <c r="F4" i="7" s="1"/>
  <c r="G4" i="7" s="1"/>
  <c r="H4" i="7" s="1"/>
  <c r="I4" i="7" s="1"/>
  <c r="J4" i="7" s="1"/>
  <c r="K4" i="7" s="1"/>
  <c r="L4" i="7" s="1"/>
  <c r="M4" i="7" s="1"/>
  <c r="N4" i="7" s="1"/>
  <c r="O4" i="7" s="1"/>
  <c r="P4" i="7" s="1"/>
  <c r="Q4" i="7" s="1"/>
  <c r="R4" i="7" s="1"/>
  <c r="C4" i="7"/>
  <c r="B21" i="6"/>
  <c r="B20" i="6"/>
  <c r="B19" i="6"/>
  <c r="B15" i="6"/>
  <c r="B14" i="6"/>
  <c r="B16" i="6" s="1"/>
  <c r="B13" i="6"/>
  <c r="O29" i="5" l="1"/>
  <c r="P29" i="5" s="1"/>
  <c r="Q29" i="5" s="1"/>
  <c r="R29" i="5" s="1"/>
  <c r="S29" i="5" s="1"/>
  <c r="Y8" i="2"/>
  <c r="U8" i="2"/>
  <c r="F8" i="2"/>
  <c r="B22" i="6"/>
  <c r="B40" i="6" s="1"/>
  <c r="B26" i="6"/>
  <c r="C35" i="6"/>
  <c r="C36" i="6"/>
  <c r="B27" i="6"/>
  <c r="C38" i="6"/>
  <c r="B29" i="6"/>
  <c r="C37" i="6"/>
  <c r="B28" i="6"/>
  <c r="B25" i="6"/>
  <c r="C34" i="6"/>
  <c r="T29" i="5" l="1"/>
  <c r="U29" i="5" s="1"/>
  <c r="V29" i="5" s="1"/>
  <c r="W29" i="5" s="1"/>
  <c r="X29" i="5" s="1"/>
  <c r="Y29" i="5" s="1"/>
  <c r="Z29" i="5" s="1"/>
  <c r="AA29" i="5" s="1"/>
  <c r="AB29" i="5" s="1"/>
  <c r="AC29" i="5" s="1"/>
  <c r="Z8" i="2"/>
  <c r="G35" i="6"/>
  <c r="H35" i="6" s="1"/>
  <c r="G34" i="6"/>
  <c r="G37" i="6"/>
  <c r="G48" i="6" s="1"/>
  <c r="G38" i="6"/>
  <c r="G49" i="6" s="1"/>
  <c r="Q11" i="7" s="1"/>
  <c r="D37" i="6"/>
  <c r="D48" i="6" s="1"/>
  <c r="D38" i="6"/>
  <c r="E38" i="6" s="1"/>
  <c r="G36" i="6"/>
  <c r="H36" i="6" s="1"/>
  <c r="D36" i="6"/>
  <c r="D47" i="6" s="1"/>
  <c r="B9" i="7" s="1"/>
  <c r="D34" i="6"/>
  <c r="D45" i="6" s="1"/>
  <c r="D35" i="6"/>
  <c r="D46" i="6" s="1"/>
  <c r="B8" i="7" s="1"/>
  <c r="H34" i="6"/>
  <c r="G45" i="6"/>
  <c r="Q7" i="7" s="1"/>
  <c r="B10" i="7" l="1"/>
  <c r="H37" i="6"/>
  <c r="I37" i="6" s="1"/>
  <c r="I48" i="6" s="1"/>
  <c r="G10" i="2" s="1"/>
  <c r="Q10" i="7"/>
  <c r="AD29" i="5"/>
  <c r="AE29" i="5" s="1"/>
  <c r="AF29" i="5" s="1"/>
  <c r="AG29" i="5" s="1"/>
  <c r="AH29" i="5" s="1"/>
  <c r="Q10" i="2"/>
  <c r="Q14" i="2" s="1"/>
  <c r="G47" i="6"/>
  <c r="Q9" i="7" s="1"/>
  <c r="E35" i="6"/>
  <c r="E46" i="6" s="1"/>
  <c r="G8" i="7" s="1"/>
  <c r="C8" i="7" s="1"/>
  <c r="D8" i="7" s="1"/>
  <c r="E8" i="7" s="1"/>
  <c r="F8" i="7" s="1"/>
  <c r="G46" i="6"/>
  <c r="Q8" i="7" s="1"/>
  <c r="H38" i="6"/>
  <c r="H49" i="6" s="1"/>
  <c r="V11" i="7" s="1"/>
  <c r="R11" i="7" s="1"/>
  <c r="S11" i="7" s="1"/>
  <c r="T11" i="7" s="1"/>
  <c r="U11" i="7" s="1"/>
  <c r="E36" i="6"/>
  <c r="E37" i="6"/>
  <c r="E48" i="6" s="1"/>
  <c r="G10" i="7" s="1"/>
  <c r="E34" i="6"/>
  <c r="E45" i="6" s="1"/>
  <c r="G7" i="7" s="1"/>
  <c r="D49" i="6"/>
  <c r="B11" i="7" s="1"/>
  <c r="H48" i="6"/>
  <c r="V10" i="7" s="1"/>
  <c r="R10" i="7" s="1"/>
  <c r="S10" i="7" s="1"/>
  <c r="T10" i="7" s="1"/>
  <c r="U10" i="7" s="1"/>
  <c r="E49" i="6"/>
  <c r="G11" i="7" s="1"/>
  <c r="F38" i="6"/>
  <c r="F49" i="6" s="1"/>
  <c r="L11" i="7" s="1"/>
  <c r="M11" i="7" s="1"/>
  <c r="N11" i="7" s="1"/>
  <c r="O11" i="7" s="1"/>
  <c r="P11" i="7" s="1"/>
  <c r="I35" i="6"/>
  <c r="I46" i="6" s="1"/>
  <c r="H46" i="6"/>
  <c r="V8" i="7" s="1"/>
  <c r="E47" i="6"/>
  <c r="G9" i="7" s="1"/>
  <c r="F36" i="6"/>
  <c r="F47" i="6" s="1"/>
  <c r="L9" i="7" s="1"/>
  <c r="I36" i="6"/>
  <c r="I47" i="6" s="1"/>
  <c r="H47" i="6"/>
  <c r="V9" i="7" s="1"/>
  <c r="H45" i="6"/>
  <c r="V7" i="7" s="1"/>
  <c r="I34" i="6"/>
  <c r="I45" i="6" s="1"/>
  <c r="I23" i="5"/>
  <c r="J23" i="5" s="1"/>
  <c r="K23" i="5" s="1"/>
  <c r="L23" i="5" s="1"/>
  <c r="M23" i="5" s="1"/>
  <c r="N23" i="5" s="1"/>
  <c r="O23" i="5" s="1"/>
  <c r="P23" i="5" s="1"/>
  <c r="Q23" i="5" s="1"/>
  <c r="R23" i="5" s="1"/>
  <c r="S23" i="5" s="1"/>
  <c r="T23" i="5" s="1"/>
  <c r="U23" i="5" s="1"/>
  <c r="V23" i="5" s="1"/>
  <c r="W23" i="5" s="1"/>
  <c r="X23" i="5" s="1"/>
  <c r="Y23" i="5" s="1"/>
  <c r="Z23" i="5" s="1"/>
  <c r="AA23" i="5" s="1"/>
  <c r="AB23" i="5" s="1"/>
  <c r="AC23" i="5" s="1"/>
  <c r="AD23" i="5" s="1"/>
  <c r="AE23" i="5" s="1"/>
  <c r="AF23" i="5" s="1"/>
  <c r="AG23" i="5" s="1"/>
  <c r="AH23" i="5" s="1"/>
  <c r="AI23" i="5" s="1"/>
  <c r="AJ23" i="5" s="1"/>
  <c r="AK23" i="5" s="1"/>
  <c r="AL23" i="5" s="1"/>
  <c r="AM23" i="5" s="1"/>
  <c r="AN23" i="5" s="1"/>
  <c r="AO23" i="5" s="1"/>
  <c r="AP23" i="5" s="1"/>
  <c r="AQ23" i="5" s="1"/>
  <c r="AR23" i="5" s="1"/>
  <c r="AS23" i="5" s="1"/>
  <c r="AT23" i="5" s="1"/>
  <c r="AU23" i="5" s="1"/>
  <c r="AV23" i="5" s="1"/>
  <c r="AW23" i="5" s="1"/>
  <c r="AX23" i="5" s="1"/>
  <c r="AY23" i="5" s="1"/>
  <c r="AZ23" i="5" s="1"/>
  <c r="B13" i="7" l="1"/>
  <c r="F35" i="6"/>
  <c r="F46" i="6" s="1"/>
  <c r="L8" i="7" s="1"/>
  <c r="M8" i="7" s="1"/>
  <c r="N8" i="7" s="1"/>
  <c r="O8" i="7" s="1"/>
  <c r="P8" i="7" s="1"/>
  <c r="G14" i="2"/>
  <c r="H10" i="2"/>
  <c r="H14" i="2" s="1"/>
  <c r="C10" i="2"/>
  <c r="C14" i="2" s="1"/>
  <c r="G13" i="2"/>
  <c r="C10" i="7"/>
  <c r="D10" i="7" s="1"/>
  <c r="E10" i="7" s="1"/>
  <c r="F10" i="7" s="1"/>
  <c r="I38" i="6"/>
  <c r="I49" i="6" s="1"/>
  <c r="AA11" i="7" s="1"/>
  <c r="W11" i="7" s="1"/>
  <c r="X11" i="7" s="1"/>
  <c r="Y11" i="7" s="1"/>
  <c r="Z11" i="7" s="1"/>
  <c r="B13" i="2"/>
  <c r="B14" i="2"/>
  <c r="M9" i="7"/>
  <c r="N9" i="7" s="1"/>
  <c r="O9" i="7" s="1"/>
  <c r="P9" i="7" s="1"/>
  <c r="AI29" i="5"/>
  <c r="AJ29" i="5" s="1"/>
  <c r="AK29" i="5" s="1"/>
  <c r="AL29" i="5" s="1"/>
  <c r="AM29" i="5" s="1"/>
  <c r="V10" i="2"/>
  <c r="V14" i="2" s="1"/>
  <c r="M10" i="2"/>
  <c r="M14" i="2" s="1"/>
  <c r="Q13" i="2"/>
  <c r="R8" i="7"/>
  <c r="S8" i="7" s="1"/>
  <c r="T8" i="7" s="1"/>
  <c r="U8" i="7" s="1"/>
  <c r="R9" i="7"/>
  <c r="S9" i="7" s="1"/>
  <c r="T9" i="7" s="1"/>
  <c r="U9" i="7" s="1"/>
  <c r="Q13" i="7"/>
  <c r="F34" i="6"/>
  <c r="F45" i="6" s="1"/>
  <c r="L7" i="7" s="1"/>
  <c r="M7" i="7" s="1"/>
  <c r="F37" i="6"/>
  <c r="F48" i="6" s="1"/>
  <c r="L10" i="7" s="1"/>
  <c r="M10" i="7" s="1"/>
  <c r="N10" i="7" s="1"/>
  <c r="O10" i="7" s="1"/>
  <c r="P10" i="7" s="1"/>
  <c r="C48" i="6"/>
  <c r="AA10" i="7"/>
  <c r="W10" i="7" s="1"/>
  <c r="X10" i="7" s="1"/>
  <c r="Y10" i="7" s="1"/>
  <c r="Z10" i="7" s="1"/>
  <c r="G13" i="7"/>
  <c r="C7" i="7"/>
  <c r="C46" i="6"/>
  <c r="AA8" i="7"/>
  <c r="W8" i="7" s="1"/>
  <c r="X8" i="7" s="1"/>
  <c r="Y8" i="7" s="1"/>
  <c r="Z8" i="7" s="1"/>
  <c r="H11" i="7"/>
  <c r="I11" i="7" s="1"/>
  <c r="J11" i="7" s="1"/>
  <c r="K11" i="7" s="1"/>
  <c r="R7" i="7"/>
  <c r="V13" i="7"/>
  <c r="C11" i="7"/>
  <c r="D11" i="7" s="1"/>
  <c r="E11" i="7" s="1"/>
  <c r="F11" i="7" s="1"/>
  <c r="C45" i="6"/>
  <c r="AA7" i="7"/>
  <c r="H9" i="7"/>
  <c r="I9" i="7" s="1"/>
  <c r="J9" i="7" s="1"/>
  <c r="K9" i="7" s="1"/>
  <c r="C47" i="6"/>
  <c r="AA9" i="7"/>
  <c r="W9" i="7" s="1"/>
  <c r="X9" i="7" s="1"/>
  <c r="Y9" i="7" s="1"/>
  <c r="Z9" i="7" s="1"/>
  <c r="C9" i="7"/>
  <c r="D9" i="7" s="1"/>
  <c r="E9" i="7" s="1"/>
  <c r="F9" i="7" s="1"/>
  <c r="I21" i="5"/>
  <c r="J21" i="5" s="1"/>
  <c r="K21" i="5" s="1"/>
  <c r="L21" i="5" s="1"/>
  <c r="M21" i="5" s="1"/>
  <c r="N21" i="5" s="1"/>
  <c r="O21" i="5" s="1"/>
  <c r="P21" i="5" s="1"/>
  <c r="Q21" i="5" s="1"/>
  <c r="R21" i="5" s="1"/>
  <c r="S21" i="5" s="1"/>
  <c r="T21" i="5" s="1"/>
  <c r="U21" i="5" s="1"/>
  <c r="V21" i="5" s="1"/>
  <c r="W21" i="5" s="1"/>
  <c r="X21" i="5" s="1"/>
  <c r="Y21" i="5" s="1"/>
  <c r="Z21" i="5" s="1"/>
  <c r="AA21" i="5" s="1"/>
  <c r="AB21" i="5" s="1"/>
  <c r="AC21" i="5" s="1"/>
  <c r="AD21" i="5" s="1"/>
  <c r="AE21" i="5" s="1"/>
  <c r="AF21" i="5" s="1"/>
  <c r="AG21" i="5" s="1"/>
  <c r="AH21" i="5" s="1"/>
  <c r="AI21" i="5" s="1"/>
  <c r="AJ21" i="5" s="1"/>
  <c r="AK21" i="5" s="1"/>
  <c r="AL21" i="5" s="1"/>
  <c r="AM21" i="5" s="1"/>
  <c r="AN21" i="5" s="1"/>
  <c r="AO21" i="5" s="1"/>
  <c r="AP21" i="5" s="1"/>
  <c r="AQ21" i="5" s="1"/>
  <c r="AR21" i="5" s="1"/>
  <c r="AS21" i="5" s="1"/>
  <c r="AT21" i="5" s="1"/>
  <c r="AU21" i="5" s="1"/>
  <c r="AV21" i="5" s="1"/>
  <c r="AW21" i="5" s="1"/>
  <c r="AX21" i="5" s="1"/>
  <c r="AY21" i="5" s="1"/>
  <c r="AZ21" i="5" s="1"/>
  <c r="I19" i="5"/>
  <c r="J19" i="5" s="1"/>
  <c r="K19" i="5" s="1"/>
  <c r="L19" i="5" s="1"/>
  <c r="M19" i="5" s="1"/>
  <c r="N19" i="5" s="1"/>
  <c r="O19" i="5" s="1"/>
  <c r="P19" i="5" s="1"/>
  <c r="Q19" i="5" s="1"/>
  <c r="R19" i="5" s="1"/>
  <c r="S19" i="5" s="1"/>
  <c r="T19" i="5" s="1"/>
  <c r="U19" i="5" s="1"/>
  <c r="V19" i="5" s="1"/>
  <c r="W19" i="5" s="1"/>
  <c r="X19" i="5" s="1"/>
  <c r="Y19" i="5" s="1"/>
  <c r="Z19" i="5" s="1"/>
  <c r="AA19" i="5" s="1"/>
  <c r="AB19" i="5" s="1"/>
  <c r="AC19" i="5" s="1"/>
  <c r="AD19" i="5" s="1"/>
  <c r="AE19" i="5" s="1"/>
  <c r="AF19" i="5" s="1"/>
  <c r="AG19" i="5" s="1"/>
  <c r="AH19" i="5" s="1"/>
  <c r="AI19" i="5" s="1"/>
  <c r="AJ19" i="5" s="1"/>
  <c r="AK19" i="5" s="1"/>
  <c r="AL19" i="5" s="1"/>
  <c r="AM19" i="5" s="1"/>
  <c r="AN19" i="5" s="1"/>
  <c r="AO19" i="5" s="1"/>
  <c r="AP19" i="5" s="1"/>
  <c r="AQ19" i="5" s="1"/>
  <c r="AR19" i="5" s="1"/>
  <c r="AS19" i="5" s="1"/>
  <c r="AT19" i="5" s="1"/>
  <c r="AU19" i="5" s="1"/>
  <c r="AV19" i="5" s="1"/>
  <c r="AW19" i="5" s="1"/>
  <c r="AX19" i="5" s="1"/>
  <c r="AY19" i="5" s="1"/>
  <c r="AZ19" i="5" s="1"/>
  <c r="I20" i="5"/>
  <c r="J20" i="5" s="1"/>
  <c r="K20" i="5" s="1"/>
  <c r="L20" i="5" s="1"/>
  <c r="M20" i="5" s="1"/>
  <c r="N20" i="5" s="1"/>
  <c r="O20" i="5" s="1"/>
  <c r="P20" i="5" s="1"/>
  <c r="Q20" i="5" s="1"/>
  <c r="R20" i="5" s="1"/>
  <c r="S20" i="5" s="1"/>
  <c r="T20" i="5" s="1"/>
  <c r="U20" i="5" s="1"/>
  <c r="V20" i="5" s="1"/>
  <c r="W20" i="5" s="1"/>
  <c r="X20" i="5" s="1"/>
  <c r="Y20" i="5" s="1"/>
  <c r="Z20" i="5" s="1"/>
  <c r="AA20" i="5" s="1"/>
  <c r="AB20" i="5" s="1"/>
  <c r="AC20" i="5" s="1"/>
  <c r="AD20" i="5" s="1"/>
  <c r="AE20" i="5" s="1"/>
  <c r="AF20" i="5" s="1"/>
  <c r="AG20" i="5" s="1"/>
  <c r="AH20" i="5" s="1"/>
  <c r="AI20" i="5" s="1"/>
  <c r="AJ20" i="5" s="1"/>
  <c r="AK20" i="5" s="1"/>
  <c r="AL20" i="5" s="1"/>
  <c r="AM20" i="5" s="1"/>
  <c r="AN20" i="5" s="1"/>
  <c r="AO20" i="5" s="1"/>
  <c r="AP20" i="5" s="1"/>
  <c r="AQ20" i="5" s="1"/>
  <c r="AR20" i="5" s="1"/>
  <c r="AS20" i="5" s="1"/>
  <c r="AT20" i="5" s="1"/>
  <c r="AU20" i="5" s="1"/>
  <c r="AV20" i="5" s="1"/>
  <c r="AW20" i="5" s="1"/>
  <c r="AX20" i="5" s="1"/>
  <c r="AY20" i="5" s="1"/>
  <c r="AZ20" i="5" s="1"/>
  <c r="I22" i="5"/>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 r="AW22" i="5" s="1"/>
  <c r="AX22" i="5" s="1"/>
  <c r="AY22" i="5" s="1"/>
  <c r="AZ22" i="5" s="1"/>
  <c r="H8" i="7" l="1"/>
  <c r="I8" i="7" s="1"/>
  <c r="J8" i="7" s="1"/>
  <c r="K8" i="7" s="1"/>
  <c r="C49" i="6"/>
  <c r="H10" i="7"/>
  <c r="I10" i="7" s="1"/>
  <c r="J10" i="7" s="1"/>
  <c r="K10" i="7" s="1"/>
  <c r="H13" i="2"/>
  <c r="I10" i="2"/>
  <c r="I14" i="2" s="1"/>
  <c r="C13" i="2"/>
  <c r="D10" i="2"/>
  <c r="D14" i="2" s="1"/>
  <c r="N10" i="2"/>
  <c r="N14" i="2" s="1"/>
  <c r="M13" i="2"/>
  <c r="M13" i="7"/>
  <c r="R10" i="2"/>
  <c r="R14" i="2" s="1"/>
  <c r="V13" i="2"/>
  <c r="AN29" i="5"/>
  <c r="AO29" i="5" s="1"/>
  <c r="AP29" i="5" s="1"/>
  <c r="AQ29" i="5" s="1"/>
  <c r="AR29" i="5" s="1"/>
  <c r="AS29" i="5" s="1"/>
  <c r="AT29" i="5" s="1"/>
  <c r="AU29" i="5" s="1"/>
  <c r="AV29" i="5" s="1"/>
  <c r="AW29" i="5" s="1"/>
  <c r="AX29" i="5" s="1"/>
  <c r="AY29" i="5" s="1"/>
  <c r="AZ29" i="5" s="1"/>
  <c r="AA10" i="2"/>
  <c r="AA14" i="2" s="1"/>
  <c r="C13" i="7"/>
  <c r="R13" i="7"/>
  <c r="H7" i="7"/>
  <c r="I7" i="7" s="1"/>
  <c r="L13" i="7"/>
  <c r="S7" i="7"/>
  <c r="N7" i="7"/>
  <c r="W7" i="7"/>
  <c r="W13" i="7" s="1"/>
  <c r="AA13" i="7"/>
  <c r="D7" i="7"/>
  <c r="I9" i="5"/>
  <c r="J9" i="5" s="1"/>
  <c r="K9" i="5" s="1"/>
  <c r="L9" i="5" s="1"/>
  <c r="M9" i="5" s="1"/>
  <c r="N9" i="5" s="1"/>
  <c r="O9" i="5" s="1"/>
  <c r="P9" i="5" s="1"/>
  <c r="Q9" i="5" s="1"/>
  <c r="R9" i="5" s="1"/>
  <c r="S9" i="5" s="1"/>
  <c r="T9" i="5" s="1"/>
  <c r="U9" i="5" s="1"/>
  <c r="V9" i="5" s="1"/>
  <c r="W9" i="5" s="1"/>
  <c r="X9" i="5" s="1"/>
  <c r="Y9" i="5" s="1"/>
  <c r="Z9" i="5" s="1"/>
  <c r="AA9" i="5" s="1"/>
  <c r="AB9" i="5" s="1"/>
  <c r="AC9" i="5" s="1"/>
  <c r="AD9" i="5" s="1"/>
  <c r="AE9" i="5" s="1"/>
  <c r="AF9" i="5" s="1"/>
  <c r="AG9" i="5" s="1"/>
  <c r="AH9" i="5" s="1"/>
  <c r="AI9" i="5" s="1"/>
  <c r="AJ9" i="5" s="1"/>
  <c r="AK9" i="5" s="1"/>
  <c r="AL9" i="5" s="1"/>
  <c r="AM9" i="5" s="1"/>
  <c r="AN9" i="5" s="1"/>
  <c r="AO9" i="5" s="1"/>
  <c r="AP9" i="5" s="1"/>
  <c r="AQ9" i="5" s="1"/>
  <c r="AR9" i="5" s="1"/>
  <c r="AS9" i="5" s="1"/>
  <c r="AT9" i="5" s="1"/>
  <c r="AU9" i="5" s="1"/>
  <c r="AV9" i="5" s="1"/>
  <c r="AW9" i="5" s="1"/>
  <c r="AX9" i="5" s="1"/>
  <c r="AY9" i="5" s="1"/>
  <c r="AZ9" i="5" s="1"/>
  <c r="C9" i="3"/>
  <c r="C11" i="3" s="1"/>
  <c r="D7" i="3"/>
  <c r="E7" i="3" s="1"/>
  <c r="F7" i="3" s="1"/>
  <c r="G7" i="3" s="1"/>
  <c r="H7" i="3" s="1"/>
  <c r="I7" i="3" s="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AG7" i="3" s="1"/>
  <c r="AH7" i="3" s="1"/>
  <c r="D6" i="3"/>
  <c r="E6" i="3" s="1"/>
  <c r="F6" i="3" s="1"/>
  <c r="G6" i="3" s="1"/>
  <c r="H6" i="3" s="1"/>
  <c r="I6" i="3" s="1"/>
  <c r="J6" i="3" s="1"/>
  <c r="K6" i="3" s="1"/>
  <c r="L6" i="3" s="1"/>
  <c r="M6" i="3" s="1"/>
  <c r="N6" i="3" s="1"/>
  <c r="O6" i="3" s="1"/>
  <c r="P6" i="3" s="1"/>
  <c r="Q6" i="3" s="1"/>
  <c r="R6" i="3" s="1"/>
  <c r="S6" i="3" s="1"/>
  <c r="T6" i="3" s="1"/>
  <c r="U6" i="3" s="1"/>
  <c r="V6" i="3" s="1"/>
  <c r="W6" i="3" s="1"/>
  <c r="X6" i="3" s="1"/>
  <c r="Y6" i="3" s="1"/>
  <c r="Z6" i="3" s="1"/>
  <c r="AA6" i="3" s="1"/>
  <c r="AB6" i="3" s="1"/>
  <c r="AC6" i="3" s="1"/>
  <c r="AD6" i="3" s="1"/>
  <c r="AE6" i="3" s="1"/>
  <c r="AF6" i="3" s="1"/>
  <c r="AG6" i="3" s="1"/>
  <c r="AH6" i="3" s="1"/>
  <c r="K5" i="3"/>
  <c r="L5" i="3" s="1"/>
  <c r="M5" i="3" s="1"/>
  <c r="N5" i="3" s="1"/>
  <c r="O5" i="3" s="1"/>
  <c r="P5" i="3" s="1"/>
  <c r="Q5" i="3" s="1"/>
  <c r="R5" i="3" s="1"/>
  <c r="S5" i="3" s="1"/>
  <c r="T5" i="3" s="1"/>
  <c r="U5" i="3" s="1"/>
  <c r="V5" i="3" s="1"/>
  <c r="W5" i="3" s="1"/>
  <c r="X5" i="3" s="1"/>
  <c r="Y5" i="3" s="1"/>
  <c r="Z5" i="3" s="1"/>
  <c r="AA5" i="3" s="1"/>
  <c r="AB5" i="3" s="1"/>
  <c r="AC5" i="3" s="1"/>
  <c r="AD5" i="3" s="1"/>
  <c r="AE5" i="3" s="1"/>
  <c r="AF5" i="3" s="1"/>
  <c r="AG5" i="3" s="1"/>
  <c r="AH5" i="3" s="1"/>
  <c r="E4" i="1"/>
  <c r="F4" i="1" s="1"/>
  <c r="G4" i="1" s="1"/>
  <c r="H4" i="1" s="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K3" i="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E6" i="1"/>
  <c r="F6" i="1" s="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AJ6" i="1" s="1"/>
  <c r="AK6" i="1" s="1"/>
  <c r="D13" i="2" l="1"/>
  <c r="E10" i="2"/>
  <c r="E14" i="2" s="1"/>
  <c r="I13" i="7"/>
  <c r="J10" i="2"/>
  <c r="J14" i="2" s="1"/>
  <c r="I13" i="2"/>
  <c r="J7" i="7"/>
  <c r="J13" i="7" s="1"/>
  <c r="H13" i="7"/>
  <c r="S10" i="2"/>
  <c r="S14" i="2" s="1"/>
  <c r="R13" i="2"/>
  <c r="O10" i="2"/>
  <c r="O14" i="2" s="1"/>
  <c r="N13" i="2"/>
  <c r="W10" i="2"/>
  <c r="AA13" i="2"/>
  <c r="E7" i="7"/>
  <c r="D13" i="7"/>
  <c r="X7" i="7"/>
  <c r="O7" i="7"/>
  <c r="N13" i="7"/>
  <c r="T7" i="7"/>
  <c r="S13" i="7"/>
  <c r="E9" i="3"/>
  <c r="E11" i="3" s="1"/>
  <c r="M9" i="3"/>
  <c r="N19" i="3" s="1"/>
  <c r="U9" i="3"/>
  <c r="AC9" i="3"/>
  <c r="F9" i="3"/>
  <c r="F11" i="3" s="1"/>
  <c r="N9" i="3"/>
  <c r="O19" i="3" s="1"/>
  <c r="V9" i="3"/>
  <c r="AD9" i="3"/>
  <c r="G9" i="3"/>
  <c r="G11" i="3" s="1"/>
  <c r="O9" i="3"/>
  <c r="P19" i="3" s="1"/>
  <c r="W9" i="3"/>
  <c r="X19" i="3" s="1"/>
  <c r="AE9" i="3"/>
  <c r="P9" i="3"/>
  <c r="Y9" i="3"/>
  <c r="J9" i="3"/>
  <c r="K19" i="3" s="1"/>
  <c r="R9" i="3"/>
  <c r="S19" i="3" s="1"/>
  <c r="Z9" i="3"/>
  <c r="AH9" i="3"/>
  <c r="H9" i="3"/>
  <c r="AF9" i="3"/>
  <c r="Q9" i="3"/>
  <c r="AG9" i="3"/>
  <c r="AH19" i="3" s="1"/>
  <c r="K9" i="3"/>
  <c r="S9" i="3"/>
  <c r="T19" i="3" s="1"/>
  <c r="AA9" i="3"/>
  <c r="X9" i="3"/>
  <c r="Y19" i="3" s="1"/>
  <c r="I9" i="3"/>
  <c r="D9" i="3"/>
  <c r="D11" i="3" s="1"/>
  <c r="L9" i="3"/>
  <c r="T9" i="3"/>
  <c r="U19" i="3" s="1"/>
  <c r="AB9" i="3"/>
  <c r="AC19" i="3" s="1"/>
  <c r="B8" i="1"/>
  <c r="V19" i="3" l="1"/>
  <c r="L19" i="3"/>
  <c r="Z19" i="3"/>
  <c r="W13" i="2"/>
  <c r="W14" i="2"/>
  <c r="AD19" i="3" s="1"/>
  <c r="E13" i="2"/>
  <c r="F10" i="2"/>
  <c r="F13" i="2" s="1"/>
  <c r="K7" i="7"/>
  <c r="K13" i="7" s="1"/>
  <c r="R24" i="3" s="1"/>
  <c r="Q19" i="3"/>
  <c r="J13" i="2"/>
  <c r="K10" i="2"/>
  <c r="H11" i="3"/>
  <c r="X10" i="2"/>
  <c r="P10" i="2"/>
  <c r="O13" i="2"/>
  <c r="T10" i="2"/>
  <c r="T14" i="2" s="1"/>
  <c r="AA19" i="3" s="1"/>
  <c r="S13" i="2"/>
  <c r="F7" i="7"/>
  <c r="F13" i="7" s="1"/>
  <c r="M24" i="3" s="1"/>
  <c r="E13" i="7"/>
  <c r="L24" i="3" s="1"/>
  <c r="U7" i="7"/>
  <c r="U13" i="7" s="1"/>
  <c r="AB24" i="3" s="1"/>
  <c r="T13" i="7"/>
  <c r="AA24" i="3" s="1"/>
  <c r="P7" i="7"/>
  <c r="P13" i="7" s="1"/>
  <c r="W24" i="3" s="1"/>
  <c r="O13" i="7"/>
  <c r="V24" i="3" s="1"/>
  <c r="Y7" i="7"/>
  <c r="X13" i="7"/>
  <c r="AE24" i="3" s="1"/>
  <c r="AE11" i="3"/>
  <c r="T11" i="3"/>
  <c r="T24" i="3"/>
  <c r="T18" i="3" s="1"/>
  <c r="AG11" i="3"/>
  <c r="Y24" i="3"/>
  <c r="Y18" i="3" s="1"/>
  <c r="Y11" i="3"/>
  <c r="N24" i="3"/>
  <c r="N18" i="3" s="1"/>
  <c r="N11" i="3"/>
  <c r="L11" i="3"/>
  <c r="Q24" i="3"/>
  <c r="Q11" i="3"/>
  <c r="P11" i="3"/>
  <c r="P24" i="3"/>
  <c r="P18" i="3" s="1"/>
  <c r="AF11" i="3"/>
  <c r="X11" i="3"/>
  <c r="X24" i="3"/>
  <c r="X18" i="3" s="1"/>
  <c r="AH24" i="3"/>
  <c r="AH18" i="3" s="1"/>
  <c r="AI18" i="3" s="1"/>
  <c r="AH11" i="3"/>
  <c r="O11" i="3"/>
  <c r="O24" i="3"/>
  <c r="O18" i="3" s="1"/>
  <c r="M11" i="3"/>
  <c r="I11" i="3"/>
  <c r="U24" i="3"/>
  <c r="U18" i="3" s="1"/>
  <c r="U11" i="3"/>
  <c r="AA11" i="3"/>
  <c r="Z24" i="3"/>
  <c r="Z11" i="3"/>
  <c r="AC11" i="3"/>
  <c r="AC24" i="3"/>
  <c r="AC18" i="3" s="1"/>
  <c r="W11" i="3"/>
  <c r="S11" i="3"/>
  <c r="S24" i="3"/>
  <c r="S18" i="3" s="1"/>
  <c r="R11" i="3"/>
  <c r="AD11" i="3"/>
  <c r="AD24" i="3"/>
  <c r="AB11" i="3"/>
  <c r="K24" i="3"/>
  <c r="K18" i="3" s="1"/>
  <c r="K11" i="3"/>
  <c r="J11" i="3"/>
  <c r="V11" i="3"/>
  <c r="V18" i="3" l="1"/>
  <c r="AD18" i="3"/>
  <c r="F14" i="2"/>
  <c r="M19" i="3" s="1"/>
  <c r="M18" i="3" s="1"/>
  <c r="Z18" i="3"/>
  <c r="L18" i="3"/>
  <c r="P13" i="2"/>
  <c r="P14" i="2"/>
  <c r="W19" i="3" s="1"/>
  <c r="W18" i="3" s="1"/>
  <c r="AA18" i="3"/>
  <c r="Y10" i="2"/>
  <c r="Y14" i="2" s="1"/>
  <c r="AF19" i="3" s="1"/>
  <c r="X14" i="2"/>
  <c r="AE19" i="3" s="1"/>
  <c r="AE18" i="3" s="1"/>
  <c r="K13" i="2"/>
  <c r="K14" i="2"/>
  <c r="R19" i="3" s="1"/>
  <c r="R18" i="3" s="1"/>
  <c r="Q18" i="3"/>
  <c r="X13" i="2"/>
  <c r="T13" i="2"/>
  <c r="U10" i="2"/>
  <c r="Z7" i="7"/>
  <c r="Z13" i="7" s="1"/>
  <c r="AG24" i="3" s="1"/>
  <c r="Y13" i="7"/>
  <c r="AF24" i="3" s="1"/>
  <c r="B11" i="3"/>
  <c r="B14" i="3" s="1"/>
  <c r="B16" i="3" s="1"/>
  <c r="Y13" i="2" l="1"/>
  <c r="AF18" i="3"/>
  <c r="Z10" i="2"/>
  <c r="U13" i="2"/>
  <c r="U14" i="2"/>
  <c r="AB19" i="3" s="1"/>
  <c r="AB18" i="3" s="1"/>
  <c r="Z13" i="2" l="1"/>
  <c r="Z14" i="2"/>
  <c r="AG19" i="3" s="1"/>
  <c r="AG18" i="3" s="1"/>
  <c r="B27" i="3" l="1"/>
  <c r="B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Jed Poster</author>
  </authors>
  <commentList>
    <comment ref="E10" authorId="0" shapeId="0" xr:uid="{D9D23FFC-2DE0-40D6-AE22-8D9C7F94940D}">
      <text>
        <r>
          <rPr>
            <b/>
            <sz val="9"/>
            <color indexed="81"/>
            <rFont val="Tahoma"/>
            <family val="2"/>
          </rPr>
          <t>Jed Poster:</t>
        </r>
        <r>
          <rPr>
            <sz val="9"/>
            <color indexed="81"/>
            <rFont val="Tahoma"/>
            <family val="2"/>
          </rPr>
          <t xml:space="preserve">
Updated 5/16/18
</t>
        </r>
      </text>
    </comment>
    <comment ref="E13" authorId="0" shapeId="0" xr:uid="{DC63A36F-DD6E-457A-B8AE-28AA87652CF6}">
      <text>
        <r>
          <rPr>
            <b/>
            <sz val="9"/>
            <color indexed="81"/>
            <rFont val="Tahoma"/>
            <family val="2"/>
          </rPr>
          <t>Jed Poster:</t>
        </r>
        <r>
          <rPr>
            <sz val="9"/>
            <color indexed="81"/>
            <rFont val="Tahoma"/>
            <family val="2"/>
          </rPr>
          <t xml:space="preserve">
Updated 5/16/18
</t>
        </r>
      </text>
    </comment>
  </commentList>
</comments>
</file>

<file path=xl/sharedStrings.xml><?xml version="1.0" encoding="utf-8"?>
<sst xmlns="http://schemas.openxmlformats.org/spreadsheetml/2006/main" count="213" uniqueCount="142">
  <si>
    <t>Year of Construction</t>
  </si>
  <si>
    <t>Year of Operation</t>
  </si>
  <si>
    <r>
      <t>Base Year Y for Discounting $xxx/(1 + r)</t>
    </r>
    <r>
      <rPr>
        <vertAlign val="superscript"/>
        <sz val="12"/>
        <color theme="1"/>
        <rFont val="Calibri"/>
        <family val="2"/>
        <scheme val="minor"/>
      </rPr>
      <t>Y</t>
    </r>
  </si>
  <si>
    <t>Year</t>
  </si>
  <si>
    <t>check</t>
  </si>
  <si>
    <t>undiscounted 2019 dollars, in millions</t>
  </si>
  <si>
    <t>initial cumulative</t>
  </si>
  <si>
    <t>2.    https://www.bts.gov/content/average-freight-revenue-ton-mile</t>
  </si>
  <si>
    <t>Look Up Table</t>
  </si>
  <si>
    <t>Discount Rate</t>
  </si>
  <si>
    <t>`</t>
  </si>
  <si>
    <t>CARB EMFAC 2017</t>
  </si>
  <si>
    <t>g / VMT</t>
  </si>
  <si>
    <t>EPA Moves 2014</t>
  </si>
  <si>
    <t>Combination Truck Emissions Rates</t>
  </si>
  <si>
    <r>
      <t>CO</t>
    </r>
    <r>
      <rPr>
        <vertAlign val="subscript"/>
        <sz val="11"/>
        <color theme="1"/>
        <rFont val="Calibri"/>
        <family val="2"/>
        <scheme val="minor"/>
      </rPr>
      <t>2</t>
    </r>
  </si>
  <si>
    <t>PM</t>
  </si>
  <si>
    <t>NOx</t>
  </si>
  <si>
    <t>Sox</t>
  </si>
  <si>
    <t xml:space="preserve">VOC </t>
  </si>
  <si>
    <t>CO</t>
  </si>
  <si>
    <t>VOC</t>
  </si>
  <si>
    <t>Nox</t>
  </si>
  <si>
    <t xml:space="preserve">Emissions Costs Per Short Ton </t>
  </si>
  <si>
    <t>Benefit Cost Ratio</t>
  </si>
  <si>
    <t>Net Present Value</t>
  </si>
  <si>
    <t>Facilities Residual Value Undiscounterd</t>
  </si>
  <si>
    <t>Discounted Residual Value (negative cost)</t>
  </si>
  <si>
    <t>https://www.fmcsa.dot.gov/safety/data-and-statistics/large-truck-and-bus-crash-facts-2017</t>
  </si>
  <si>
    <t>2018 USDOT BCA Guidance</t>
  </si>
  <si>
    <t>Emissions Costs per Ton</t>
  </si>
  <si>
    <t>emissions benefits</t>
  </si>
  <si>
    <t>Avg. Annual Crashes (2014-2018)</t>
  </si>
  <si>
    <t xml:space="preserve">PDO </t>
  </si>
  <si>
    <t>Injury Severity 2</t>
  </si>
  <si>
    <t>Injury Severity 3</t>
  </si>
  <si>
    <t>Injury Severity 4</t>
  </si>
  <si>
    <t>Fatal</t>
  </si>
  <si>
    <t>2016 (mid period) VMT</t>
  </si>
  <si>
    <t>WP2</t>
  </si>
  <si>
    <t>WP3</t>
  </si>
  <si>
    <t>WP5</t>
  </si>
  <si>
    <t>Total</t>
  </si>
  <si>
    <t>2040 Projected VMT</t>
  </si>
  <si>
    <t>Average Project-wide Crash Rates per million VMT</t>
  </si>
  <si>
    <t xml:space="preserve">Projected No-Build Annual Crashes </t>
  </si>
  <si>
    <t xml:space="preserve">2016 midpoint </t>
  </si>
  <si>
    <t>VMT CAGT</t>
  </si>
  <si>
    <t>Projected Crash Reductions by Type</t>
  </si>
  <si>
    <t>Assumed Crash Reduction Factor*</t>
  </si>
  <si>
    <t>Total 25-year period</t>
  </si>
  <si>
    <t>http://www.cmfclearinghouse.org/results.cfm</t>
  </si>
  <si>
    <t>No injury (PDO equivalent)</t>
  </si>
  <si>
    <t xml:space="preserve">Fatal </t>
  </si>
  <si>
    <t>Value of Accidents KABCO Values ($2018 )</t>
  </si>
  <si>
    <t>gram to short ton coversion factor</t>
  </si>
  <si>
    <t>Monetized Safety Benefits ($2018 not discounted)</t>
  </si>
  <si>
    <t>first year of service is 2025</t>
  </si>
  <si>
    <t>Discounted Capital Costs (millions $2018)</t>
  </si>
  <si>
    <t>Total Discounted Costs</t>
  </si>
  <si>
    <t xml:space="preserve">   freight related inventory </t>
  </si>
  <si>
    <t>passenger reliability savings</t>
  </si>
  <si>
    <t>AM Period</t>
  </si>
  <si>
    <t>Seconds</t>
  </si>
  <si>
    <t>MPH</t>
  </si>
  <si>
    <t>Miles</t>
  </si>
  <si>
    <t>DelayAvg (All)</t>
  </si>
  <si>
    <t>DelayAvg (10)</t>
  </si>
  <si>
    <t>DelayAvg (20)</t>
  </si>
  <si>
    <t>DelayAvg (70)</t>
  </si>
  <si>
    <t>SpeedAvg (All)</t>
  </si>
  <si>
    <t>SpeedAvg (10)</t>
  </si>
  <si>
    <t>SpeedAvg (20)</t>
  </si>
  <si>
    <t>SpeedAvg (70)</t>
  </si>
  <si>
    <t>DistTot (All)</t>
  </si>
  <si>
    <t>DistTot (10)</t>
  </si>
  <si>
    <t>DistTot (20)</t>
  </si>
  <si>
    <t>DistTot (70)</t>
  </si>
  <si>
    <t>DelayTot (All)</t>
  </si>
  <si>
    <t>DelayTot (10)</t>
  </si>
  <si>
    <t>DelayTot (20)</t>
  </si>
  <si>
    <t>DelayTot (70)</t>
  </si>
  <si>
    <t>Existing AM (2016)</t>
  </si>
  <si>
    <t>2045 AM - No Action</t>
  </si>
  <si>
    <t>Ult Build AM 2045</t>
  </si>
  <si>
    <t>Ult Build 2045 AM - Added NB lane on US 75 beyond study area</t>
  </si>
  <si>
    <t>PM Period</t>
  </si>
  <si>
    <t>Existing PM (2016)</t>
  </si>
  <si>
    <t>2045 PM - No Action</t>
  </si>
  <si>
    <t>Ult Build PM 2045</t>
  </si>
  <si>
    <t>Ult Build 2045 PM - Added NB lane on US 75 beyond study area</t>
  </si>
  <si>
    <t>10 - Car</t>
  </si>
  <si>
    <t>20 - HGV T</t>
  </si>
  <si>
    <t>70 - HGV T3</t>
  </si>
  <si>
    <t>DelayAvg - Average delay per vehicle: Total delay / (Number of veh in the network + number of veh that have arrived)</t>
  </si>
  <si>
    <t>SpeedAvg - Average speed: Total distance DistTot / Total travel time TravTmTot</t>
  </si>
  <si>
    <t>DistTot - Total distance of all vehicles that are in the network or have already left it.</t>
  </si>
  <si>
    <t>DelayTot - Total delay of all vehicles that are in the network or have already left it. The delay of a vehicle in a time step is the part of the time step that must also be used because the actual speed is less than the desired speed. For the calculation, the quotient is obtained by subtracting the actual distance traveled in this time step and desired speed from the duration of the time step. The following are taken into account: (1) Passenger service times, (2) Stop times at stop signs, (3) StopDelay.</t>
  </si>
  <si>
    <t>TOTAL PROJECT TRAVEL DELAY SIMULATION - VISSIM</t>
  </si>
  <si>
    <t>Car</t>
  </si>
  <si>
    <t>Commercial Vehicles single axle</t>
  </si>
  <si>
    <t>Commercial Vehicles multi-axle</t>
  </si>
  <si>
    <t>Daily Vehicel Hours</t>
  </si>
  <si>
    <t>Possible Injury (=OK Severity 2)</t>
  </si>
  <si>
    <t>Non-incapacitating Injury (=OK Severity 3)</t>
  </si>
  <si>
    <t>Incapacitating Injury (=OK Severity 4)</t>
  </si>
  <si>
    <t>Annual Vehicle Hours</t>
  </si>
  <si>
    <t>Annual passenger hours saved</t>
  </si>
  <si>
    <t>Monetized Travel Time Benefits ($2018 not discounted)</t>
  </si>
  <si>
    <t>Passengers</t>
  </si>
  <si>
    <t>Small commercial vehicles</t>
  </si>
  <si>
    <t>Large commercial vehicles</t>
  </si>
  <si>
    <t xml:space="preserve">truck drivers </t>
  </si>
  <si>
    <t>passengers all purposes</t>
  </si>
  <si>
    <t>Hourly Value of Time ($2018)</t>
  </si>
  <si>
    <t>Total 2045 AM and PM Delay Savings, All Vehicles (for Work Packages 2,3, and 5)</t>
  </si>
  <si>
    <t>Percentage of travel time benefits attributable to work packages 2,3, and 5</t>
  </si>
  <si>
    <t>delay savings attributable to Work Packages 2,3, and 5 equal 75% of total project-wide VISSIM results</t>
  </si>
  <si>
    <t>Highway Maintenance Cost Savings</t>
  </si>
  <si>
    <t>Accident Reductions for Work Packages 2,3, and 5</t>
  </si>
  <si>
    <t>delay savings for years other than 2045 based on CAGR for project VMT.  Delay savings reduced for years prior to 2045 by compound growth factor of (1 - CAGR)</t>
  </si>
  <si>
    <t>2018 dollars, in millions</t>
  </si>
  <si>
    <t>Discount factor for 2019 base year discounting</t>
  </si>
  <si>
    <t>Yearly Discounted Benefits and Costs and Summary Results (millions $2018)</t>
  </si>
  <si>
    <t>Discounted Present Value of Capital Costs incl. Residual</t>
  </si>
  <si>
    <t xml:space="preserve">Travel delay cost savings </t>
  </si>
  <si>
    <t>Congestion reduction savings</t>
  </si>
  <si>
    <t>Accident reduction benefits</t>
  </si>
  <si>
    <t>Total Discounted Benefits - Total (million $2018)</t>
  </si>
  <si>
    <t>Annual Maintenance and Bridge Rehab and Repair</t>
  </si>
  <si>
    <t>Build</t>
  </si>
  <si>
    <t>Build Capital Cost  (millions $2018)</t>
  </si>
  <si>
    <t>Maintenance and  Rehab Costs for I-44 and I-75</t>
  </si>
  <si>
    <t>Bridge Rehab</t>
  </si>
  <si>
    <t>No Build (avoided cost)</t>
  </si>
  <si>
    <t/>
  </si>
  <si>
    <t>Average Passenger Vehicle Occupancy</t>
  </si>
  <si>
    <t>GDP price deflator factor 2018-2019 dollar conversions</t>
  </si>
  <si>
    <t>Life Cycle Benefits</t>
  </si>
  <si>
    <t>Maintenance</t>
  </si>
  <si>
    <t>Bridge Damage Repair</t>
  </si>
  <si>
    <t>TOTAL ANNUAL MAINTENANCE INCREMENTAL COST (Build vs. No 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</si>
</sst>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000_);\(#,##0.0000\);&quot;-  &quot;;&quot; &quot;@"/>
    <numFmt numFmtId="165" formatCode="#,##0.00_);\(#,##0.00\);&quot;-  &quot;;&quot; &quot;@"/>
    <numFmt numFmtId="166" formatCode="0_);\(0\)"/>
    <numFmt numFmtId="167" formatCode="0.000"/>
    <numFmt numFmtId="168" formatCode="0.0"/>
    <numFmt numFmtId="169" formatCode="_(&quot;$&quot;* #,##0_);_(&quot;$&quot;* \(#,##0\);_(&quot;$&quot;* &quot;-&quot;??_);_(@_)"/>
    <numFmt numFmtId="170" formatCode="_(* #,##0_);_(* \(#,##0\);_(* &quot;-&quot;??_);_(@_)"/>
    <numFmt numFmtId="171" formatCode="_(* #,##0.00000000_);_(* \(#,##0.00000000\);_(* &quot;-&quot;??_);_(@_)"/>
    <numFmt numFmtId="172" formatCode="_(* #,##0.0000_);_(* \(#,##0.0000\);_(* &quot;-&quot;??_);_(@_)"/>
    <numFmt numFmtId="184"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vertAlign val="superscript"/>
      <sz val="12"/>
      <color theme="1"/>
      <name val="Calibri"/>
      <family val="2"/>
      <scheme val="minor"/>
    </font>
    <font>
      <b/>
      <u/>
      <sz val="10"/>
      <color theme="1"/>
      <name val="Calibri"/>
      <family val="2"/>
      <scheme val="minor"/>
    </font>
    <font>
      <b/>
      <u/>
      <sz val="11"/>
      <color theme="1"/>
      <name val="Calibri"/>
      <family val="2"/>
      <scheme val="minor"/>
    </font>
    <font>
      <u/>
      <sz val="11"/>
      <color theme="10"/>
      <name val="Calibri"/>
      <family val="2"/>
      <scheme val="minor"/>
    </font>
    <font>
      <sz val="10"/>
      <name val="Arial"/>
      <family val="2"/>
    </font>
    <font>
      <u/>
      <sz val="11"/>
      <color theme="1"/>
      <name val="Calibri"/>
      <family val="2"/>
      <scheme val="minor"/>
    </font>
    <font>
      <b/>
      <sz val="9"/>
      <color indexed="81"/>
      <name val="Tahoma"/>
      <family val="2"/>
    </font>
    <font>
      <sz val="9"/>
      <color indexed="81"/>
      <name val="Tahoma"/>
      <family val="2"/>
    </font>
    <font>
      <vertAlign val="subscript"/>
      <sz val="11"/>
      <color theme="1"/>
      <name val="Calibri"/>
      <family val="2"/>
      <scheme val="minor"/>
    </font>
    <font>
      <u/>
      <sz val="10"/>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9"/>
      <color theme="1"/>
      <name val="Calibri"/>
      <family val="2"/>
      <scheme val="minor"/>
    </font>
    <font>
      <b/>
      <sz val="11"/>
      <name val="Calibri"/>
      <family val="2"/>
      <scheme val="minor"/>
    </font>
    <font>
      <b/>
      <sz val="10"/>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bgColor indexed="64"/>
      </patternFill>
    </fill>
    <fill>
      <patternFill patternType="solid">
        <fgColor rgb="FFC6E0B4"/>
        <bgColor indexed="64"/>
      </patternFill>
    </fill>
    <fill>
      <patternFill patternType="solid">
        <fgColor theme="0" tint="-0.14999847407452621"/>
        <bgColor indexed="64"/>
      </patternFill>
    </fill>
    <fill>
      <patternFill patternType="solid">
        <fgColor rgb="FFFF0000"/>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6">
    <xf numFmtId="0" fontId="0" fillId="0" borderId="0"/>
    <xf numFmtId="43" fontId="1" fillId="0" borderId="0" applyFont="0" applyFill="0" applyBorder="0" applyAlignment="0" applyProtection="0"/>
    <xf numFmtId="0" fontId="7" fillId="0" borderId="0" applyNumberFormat="0" applyFill="0" applyBorder="0" applyAlignment="0" applyProtection="0"/>
    <xf numFmtId="16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0" borderId="0" xfId="0" applyFont="1"/>
    <xf numFmtId="0" fontId="0" fillId="0" borderId="0" xfId="0" applyAlignment="1">
      <alignment horizontal="right"/>
    </xf>
    <xf numFmtId="0" fontId="3" fillId="0" borderId="0" xfId="0" applyFont="1" applyAlignment="1">
      <alignment horizontal="right"/>
    </xf>
    <xf numFmtId="2" fontId="0" fillId="0" borderId="0" xfId="0" applyNumberFormat="1"/>
    <xf numFmtId="2" fontId="3" fillId="0" borderId="0" xfId="0" applyNumberFormat="1" applyFont="1" applyAlignment="1">
      <alignment horizontal="right"/>
    </xf>
    <xf numFmtId="0" fontId="7" fillId="0" borderId="0" xfId="2"/>
    <xf numFmtId="0" fontId="6" fillId="0" borderId="0" xfId="0" applyFont="1"/>
    <xf numFmtId="0" fontId="0" fillId="0" borderId="1" xfId="0" applyBorder="1"/>
    <xf numFmtId="0" fontId="0" fillId="0" borderId="2" xfId="0" applyBorder="1"/>
    <xf numFmtId="0" fontId="0" fillId="0" borderId="3" xfId="0" applyBorder="1"/>
    <xf numFmtId="165" fontId="0" fillId="0" borderId="2" xfId="3" applyNumberFormat="1" applyFont="1" applyBorder="1"/>
    <xf numFmtId="0" fontId="9" fillId="0" borderId="2" xfId="0" applyFont="1" applyBorder="1"/>
    <xf numFmtId="166" fontId="0" fillId="0" borderId="2" xfId="1" applyNumberFormat="1" applyFont="1" applyBorder="1"/>
    <xf numFmtId="166" fontId="0" fillId="0" borderId="2" xfId="3" applyNumberFormat="1" applyFont="1" applyBorder="1"/>
    <xf numFmtId="165" fontId="0" fillId="3" borderId="2" xfId="3" applyNumberFormat="1" applyFont="1" applyFill="1" applyBorder="1"/>
    <xf numFmtId="167" fontId="0" fillId="0" borderId="0" xfId="0" applyNumberFormat="1"/>
    <xf numFmtId="0" fontId="0" fillId="0" borderId="2" xfId="0" applyBorder="1" applyAlignment="1">
      <alignment horizontal="right"/>
    </xf>
    <xf numFmtId="168" fontId="0" fillId="4" borderId="2" xfId="0" applyNumberFormat="1" applyFill="1" applyBorder="1"/>
    <xf numFmtId="0" fontId="14" fillId="0" borderId="0" xfId="0" applyFont="1"/>
    <xf numFmtId="44" fontId="0" fillId="0" borderId="0" xfId="4" applyFont="1"/>
    <xf numFmtId="169" fontId="0" fillId="0" borderId="0" xfId="4" applyNumberFormat="1" applyFont="1"/>
    <xf numFmtId="44" fontId="2" fillId="2" borderId="4" xfId="4" applyFont="1" applyFill="1" applyBorder="1"/>
    <xf numFmtId="44" fontId="0" fillId="0" borderId="0" xfId="0" applyNumberFormat="1"/>
    <xf numFmtId="2" fontId="0" fillId="6" borderId="0" xfId="0" applyNumberFormat="1" applyFill="1"/>
    <xf numFmtId="0" fontId="0" fillId="0" borderId="5" xfId="0" applyBorder="1"/>
    <xf numFmtId="0" fontId="0" fillId="0" borderId="7" xfId="0" applyBorder="1"/>
    <xf numFmtId="44" fontId="2" fillId="0" borderId="8" xfId="4" applyFont="1" applyFill="1" applyBorder="1"/>
    <xf numFmtId="0" fontId="0" fillId="0" borderId="9" xfId="0" applyBorder="1"/>
    <xf numFmtId="0" fontId="0" fillId="7" borderId="0" xfId="0" applyFill="1"/>
    <xf numFmtId="0" fontId="0" fillId="0" borderId="0" xfId="0" applyFill="1"/>
    <xf numFmtId="2" fontId="0" fillId="0" borderId="0" xfId="0" applyNumberFormat="1" applyFill="1"/>
    <xf numFmtId="2" fontId="3" fillId="0" borderId="0" xfId="0" applyNumberFormat="1" applyFont="1" applyFill="1" applyAlignment="1">
      <alignment horizontal="right"/>
    </xf>
    <xf numFmtId="0" fontId="0" fillId="0" borderId="7" xfId="0" applyBorder="1" applyAlignment="1">
      <alignment horizontal="right"/>
    </xf>
    <xf numFmtId="0" fontId="3" fillId="0" borderId="0" xfId="0" applyFont="1" applyFill="1" applyAlignment="1">
      <alignment horizontal="right"/>
    </xf>
    <xf numFmtId="0" fontId="2" fillId="0" borderId="0" xfId="0" applyFont="1" applyAlignment="1">
      <alignment horizontal="left"/>
    </xf>
    <xf numFmtId="170" fontId="0" fillId="0" borderId="0" xfId="1" applyNumberFormat="1" applyFont="1"/>
    <xf numFmtId="0" fontId="2" fillId="0" borderId="0" xfId="0" applyFont="1" applyAlignment="1">
      <alignment horizontal="right"/>
    </xf>
    <xf numFmtId="170" fontId="2" fillId="0" borderId="0" xfId="0" applyNumberFormat="1" applyFont="1"/>
    <xf numFmtId="170" fontId="0" fillId="0" borderId="0" xfId="0" applyNumberFormat="1"/>
    <xf numFmtId="170" fontId="2" fillId="0" borderId="0" xfId="1" applyNumberFormat="1" applyFont="1"/>
    <xf numFmtId="0" fontId="2" fillId="0" borderId="0" xfId="0" applyFont="1" applyAlignment="1">
      <alignment wrapText="1"/>
    </xf>
    <xf numFmtId="171" fontId="0" fillId="0" borderId="0" xfId="0" applyNumberFormat="1"/>
    <xf numFmtId="0" fontId="2" fillId="2" borderId="0" xfId="0" applyFont="1" applyFill="1" applyAlignment="1">
      <alignment horizontal="right" wrapText="1"/>
    </xf>
    <xf numFmtId="0" fontId="0" fillId="2" borderId="0" xfId="0" applyFill="1"/>
    <xf numFmtId="2" fontId="0" fillId="2" borderId="0" xfId="0" applyNumberFormat="1" applyFill="1"/>
    <xf numFmtId="43" fontId="0" fillId="2" borderId="0" xfId="0" applyNumberFormat="1" applyFill="1"/>
    <xf numFmtId="172" fontId="0" fillId="0" borderId="0" xfId="1" applyNumberFormat="1" applyFont="1"/>
    <xf numFmtId="0" fontId="15" fillId="8" borderId="5" xfId="0" applyFont="1" applyFill="1" applyBorder="1" applyAlignment="1">
      <alignment horizontal="right" vertical="center"/>
    </xf>
    <xf numFmtId="0" fontId="16" fillId="0" borderId="10" xfId="0" applyFont="1" applyBorder="1" applyAlignment="1">
      <alignment vertical="center"/>
    </xf>
    <xf numFmtId="0" fontId="16" fillId="0" borderId="10" xfId="0" applyFont="1" applyBorder="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9" fontId="16" fillId="0" borderId="0" xfId="5" applyFont="1" applyBorder="1" applyAlignment="1">
      <alignment horizontal="right" vertical="center"/>
    </xf>
    <xf numFmtId="0" fontId="16" fillId="0" borderId="0" xfId="0" applyFont="1" applyAlignment="1">
      <alignment vertical="center"/>
    </xf>
    <xf numFmtId="0" fontId="16" fillId="0" borderId="8" xfId="0" applyFont="1" applyBorder="1" applyAlignment="1">
      <alignment vertical="center"/>
    </xf>
    <xf numFmtId="43" fontId="16" fillId="8" borderId="0" xfId="0" applyNumberFormat="1" applyFont="1" applyFill="1" applyAlignment="1">
      <alignment vertical="center"/>
    </xf>
    <xf numFmtId="43" fontId="16" fillId="8" borderId="8" xfId="0" applyNumberFormat="1" applyFont="1" applyFill="1" applyBorder="1" applyAlignment="1">
      <alignment vertical="center"/>
    </xf>
    <xf numFmtId="0" fontId="16" fillId="0" borderId="9" xfId="0" applyFont="1" applyBorder="1" applyAlignment="1">
      <alignment horizontal="right" vertical="center"/>
    </xf>
    <xf numFmtId="0" fontId="16" fillId="0" borderId="11" xfId="0" applyFont="1" applyBorder="1" applyAlignment="1">
      <alignment vertical="center"/>
    </xf>
    <xf numFmtId="43" fontId="16" fillId="8" borderId="11" xfId="0" applyNumberFormat="1" applyFont="1" applyFill="1" applyBorder="1" applyAlignment="1">
      <alignment vertical="center"/>
    </xf>
    <xf numFmtId="43" fontId="16" fillId="8" borderId="12" xfId="0" applyNumberFormat="1" applyFont="1" applyFill="1" applyBorder="1" applyAlignment="1">
      <alignment vertical="center"/>
    </xf>
    <xf numFmtId="0" fontId="7" fillId="0" borderId="0" xfId="2" applyFill="1" applyBorder="1" applyAlignment="1">
      <alignment horizontal="right" vertical="center" wrapText="1"/>
    </xf>
    <xf numFmtId="0" fontId="16" fillId="0" borderId="0" xfId="0" applyFont="1" applyBorder="1" applyAlignment="1">
      <alignment horizontal="right" vertical="center"/>
    </xf>
    <xf numFmtId="0" fontId="16" fillId="0" borderId="0" xfId="0" applyFont="1" applyBorder="1" applyAlignment="1">
      <alignment vertical="center"/>
    </xf>
    <xf numFmtId="166" fontId="16" fillId="0" borderId="0" xfId="0" applyNumberFormat="1" applyFont="1" applyBorder="1" applyAlignment="1">
      <alignment horizontal="right" vertical="center"/>
    </xf>
    <xf numFmtId="43" fontId="16" fillId="0" borderId="0" xfId="0" applyNumberFormat="1" applyFont="1" applyFill="1" applyBorder="1" applyAlignment="1">
      <alignment vertical="center"/>
    </xf>
    <xf numFmtId="166" fontId="16" fillId="0" borderId="0" xfId="0" applyNumberFormat="1" applyFont="1" applyFill="1" applyBorder="1" applyAlignment="1">
      <alignment vertical="center"/>
    </xf>
    <xf numFmtId="0" fontId="0" fillId="0" borderId="0" xfId="0" applyFill="1" applyBorder="1" applyAlignment="1">
      <alignment horizontal="right"/>
    </xf>
    <xf numFmtId="0" fontId="16" fillId="0" borderId="0" xfId="0" applyFont="1" applyFill="1" applyBorder="1" applyAlignment="1">
      <alignment horizontal="right" vertical="center"/>
    </xf>
    <xf numFmtId="44" fontId="2" fillId="2" borderId="4" xfId="4" applyNumberFormat="1" applyFont="1" applyFill="1" applyBorder="1"/>
    <xf numFmtId="0" fontId="0" fillId="0" borderId="7" xfId="0" applyFill="1" applyBorder="1" applyAlignment="1">
      <alignment horizontal="right"/>
    </xf>
    <xf numFmtId="0" fontId="2" fillId="0" borderId="7" xfId="0" applyFont="1" applyBorder="1"/>
    <xf numFmtId="0" fontId="0" fillId="0" borderId="7" xfId="0" applyBorder="1" applyAlignment="1">
      <alignment horizontal="left"/>
    </xf>
    <xf numFmtId="0" fontId="17" fillId="0" borderId="0" xfId="0" applyFont="1"/>
    <xf numFmtId="0" fontId="0" fillId="0" borderId="2" xfId="0" applyBorder="1" applyAlignment="1">
      <alignment horizontal="center"/>
    </xf>
    <xf numFmtId="0" fontId="0" fillId="9" borderId="2" xfId="0" applyFill="1" applyBorder="1"/>
    <xf numFmtId="0" fontId="0" fillId="0" borderId="13" xfId="0" applyBorder="1" applyAlignment="1">
      <alignment horizontal="center" vertical="center" wrapText="1"/>
    </xf>
    <xf numFmtId="2" fontId="0" fillId="0" borderId="2" xfId="0" applyNumberFormat="1" applyBorder="1" applyAlignment="1">
      <alignment horizontal="center"/>
    </xf>
    <xf numFmtId="2" fontId="0" fillId="9" borderId="2" xfId="0" applyNumberFormat="1" applyFill="1" applyBorder="1" applyAlignment="1">
      <alignment horizontal="center"/>
    </xf>
    <xf numFmtId="0" fontId="0" fillId="0" borderId="2" xfId="0" applyBorder="1" applyAlignment="1">
      <alignment horizontal="center" vertical="center" wrapText="1"/>
    </xf>
    <xf numFmtId="0" fontId="0" fillId="9" borderId="2" xfId="0" applyFill="1" applyBorder="1" applyAlignment="1">
      <alignment horizontal="center" vertical="center" wrapText="1"/>
    </xf>
    <xf numFmtId="0" fontId="5" fillId="0" borderId="0" xfId="0" applyFont="1" applyFill="1" applyAlignment="1">
      <alignment horizontal="right"/>
    </xf>
    <xf numFmtId="44" fontId="0" fillId="0" borderId="0" xfId="4" applyFont="1" applyFill="1"/>
    <xf numFmtId="44" fontId="0" fillId="0" borderId="0" xfId="0" applyNumberFormat="1" applyFill="1"/>
    <xf numFmtId="0" fontId="13" fillId="0" borderId="0" xfId="0" applyFont="1" applyFill="1" applyAlignment="1">
      <alignment horizontal="right"/>
    </xf>
    <xf numFmtId="0" fontId="0" fillId="0" borderId="0" xfId="0" applyFill="1" applyAlignment="1">
      <alignment horizontal="right"/>
    </xf>
    <xf numFmtId="0" fontId="9" fillId="0" borderId="0" xfId="0" applyFont="1" applyFill="1" applyAlignment="1">
      <alignment horizontal="right"/>
    </xf>
    <xf numFmtId="167" fontId="0" fillId="0" borderId="0" xfId="0" applyNumberFormat="1" applyFill="1"/>
    <xf numFmtId="0" fontId="0" fillId="0" borderId="0" xfId="0" applyFont="1" applyFill="1" applyAlignment="1">
      <alignment horizontal="right"/>
    </xf>
    <xf numFmtId="0" fontId="6" fillId="0" borderId="0" xfId="0" applyFont="1" applyFill="1" applyAlignment="1">
      <alignment horizontal="right"/>
    </xf>
    <xf numFmtId="0" fontId="18" fillId="0" borderId="0" xfId="0" applyFont="1"/>
    <xf numFmtId="166" fontId="15" fillId="0" borderId="0" xfId="0" applyNumberFormat="1" applyFont="1" applyAlignment="1">
      <alignment horizontal="right" vertical="center"/>
    </xf>
    <xf numFmtId="166" fontId="15" fillId="0" borderId="11" xfId="0" applyNumberFormat="1" applyFont="1" applyBorder="1" applyAlignment="1">
      <alignment horizontal="right" vertical="center"/>
    </xf>
    <xf numFmtId="0" fontId="2" fillId="0" borderId="0" xfId="0" applyFont="1" applyFill="1" applyBorder="1" applyAlignment="1">
      <alignment horizontal="left"/>
    </xf>
    <xf numFmtId="44" fontId="0" fillId="0" borderId="0" xfId="4" applyFont="1" applyFill="1" applyBorder="1"/>
    <xf numFmtId="9" fontId="0" fillId="0" borderId="0" xfId="5" applyFont="1"/>
    <xf numFmtId="0" fontId="15" fillId="0" borderId="0" xfId="0" applyFont="1" applyFill="1" applyBorder="1" applyAlignment="1">
      <alignment horizontal="right" vertical="center"/>
    </xf>
    <xf numFmtId="170" fontId="0" fillId="0" borderId="0" xfId="1" applyNumberFormat="1" applyFont="1" applyFill="1"/>
    <xf numFmtId="44" fontId="2" fillId="2" borderId="8" xfId="4" applyNumberFormat="1" applyFont="1" applyFill="1" applyBorder="1"/>
    <xf numFmtId="44" fontId="19" fillId="10" borderId="8" xfId="4" applyNumberFormat="1" applyFont="1" applyFill="1" applyBorder="1"/>
    <xf numFmtId="44" fontId="2" fillId="10" borderId="8" xfId="4" applyFont="1" applyFill="1" applyBorder="1"/>
    <xf numFmtId="0" fontId="14" fillId="0" borderId="5" xfId="0" applyFont="1" applyBorder="1"/>
    <xf numFmtId="0" fontId="0" fillId="0" borderId="10" xfId="0" applyBorder="1"/>
    <xf numFmtId="0" fontId="0" fillId="0" borderId="6" xfId="0" applyBorder="1"/>
    <xf numFmtId="0" fontId="6" fillId="0" borderId="7" xfId="0" applyFont="1" applyBorder="1"/>
    <xf numFmtId="0" fontId="0" fillId="0" borderId="0" xfId="0" applyBorder="1"/>
    <xf numFmtId="0" fontId="0" fillId="0" borderId="8" xfId="0" applyBorder="1"/>
    <xf numFmtId="2" fontId="0" fillId="0" borderId="0" xfId="0" applyNumberFormat="1" applyBorder="1"/>
    <xf numFmtId="43" fontId="0" fillId="0" borderId="0" xfId="1" applyFont="1" applyBorder="1"/>
    <xf numFmtId="2" fontId="0" fillId="0" borderId="8" xfId="0" applyNumberFormat="1" applyBorder="1"/>
    <xf numFmtId="43" fontId="0" fillId="0" borderId="0" xfId="0" applyNumberFormat="1" applyBorder="1"/>
    <xf numFmtId="43" fontId="0" fillId="0" borderId="8" xfId="0" applyNumberFormat="1" applyBorder="1"/>
    <xf numFmtId="43" fontId="0" fillId="5" borderId="0" xfId="0" applyNumberFormat="1" applyFill="1" applyBorder="1"/>
    <xf numFmtId="43" fontId="0" fillId="5" borderId="8" xfId="0" applyNumberFormat="1" applyFill="1" applyBorder="1"/>
    <xf numFmtId="0" fontId="0" fillId="0" borderId="11" xfId="0" applyBorder="1"/>
    <xf numFmtId="0" fontId="0" fillId="0" borderId="12" xfId="0" applyBorder="1"/>
    <xf numFmtId="44" fontId="0" fillId="0" borderId="6" xfId="4" applyFont="1" applyFill="1" applyBorder="1"/>
    <xf numFmtId="44" fontId="0" fillId="0" borderId="8" xfId="4" applyFont="1" applyFill="1" applyBorder="1" applyAlignment="1">
      <alignment horizontal="right"/>
    </xf>
    <xf numFmtId="44" fontId="0" fillId="0" borderId="8" xfId="4" applyFont="1" applyFill="1" applyBorder="1"/>
    <xf numFmtId="44" fontId="1" fillId="0" borderId="8" xfId="4" applyFont="1" applyFill="1" applyBorder="1"/>
    <xf numFmtId="44" fontId="2" fillId="0" borderId="8" xfId="4" applyNumberFormat="1" applyFont="1" applyFill="1" applyBorder="1"/>
    <xf numFmtId="44" fontId="2" fillId="0" borderId="8" xfId="4" applyFont="1" applyFill="1" applyBorder="1" applyAlignment="1">
      <alignment horizontal="right" indent="1"/>
    </xf>
    <xf numFmtId="2" fontId="2" fillId="0" borderId="4" xfId="0" applyNumberFormat="1" applyFont="1" applyFill="1" applyBorder="1" applyAlignment="1">
      <alignment horizontal="right"/>
    </xf>
    <xf numFmtId="44" fontId="2" fillId="0" borderId="4" xfId="0" applyNumberFormat="1" applyFont="1" applyFill="1" applyBorder="1" applyAlignment="1">
      <alignment horizontal="right"/>
    </xf>
    <xf numFmtId="0" fontId="5" fillId="0" borderId="0" xfId="0" applyFont="1" applyAlignment="1">
      <alignment horizontal="left"/>
    </xf>
    <xf numFmtId="0" fontId="0" fillId="0" borderId="2" xfId="0" applyBorder="1" applyAlignment="1">
      <alignment horizontal="center"/>
    </xf>
    <xf numFmtId="0" fontId="0" fillId="0" borderId="0" xfId="0" quotePrefix="1"/>
    <xf numFmtId="184" fontId="0" fillId="0" borderId="0" xfId="0" applyNumberFormat="1" applyFill="1"/>
    <xf numFmtId="0" fontId="2" fillId="0" borderId="0" xfId="0" applyFont="1" applyBorder="1" applyAlignment="1">
      <alignment horizontal="left"/>
    </xf>
    <xf numFmtId="0" fontId="0" fillId="0" borderId="0" xfId="0" applyBorder="1" applyAlignment="1">
      <alignment horizontal="right"/>
    </xf>
    <xf numFmtId="170" fontId="0" fillId="0" borderId="0" xfId="1" applyNumberFormat="1" applyFont="1" applyBorder="1"/>
    <xf numFmtId="170" fontId="0" fillId="0" borderId="0" xfId="0" applyNumberFormat="1" applyBorder="1"/>
    <xf numFmtId="0" fontId="20" fillId="0" borderId="0" xfId="0" applyFont="1" applyAlignment="1">
      <alignment horizontal="right" indent="1"/>
    </xf>
  </cellXfs>
  <cellStyles count="6">
    <cellStyle name="Comma" xfId="1" builtinId="3"/>
    <cellStyle name="Currency" xfId="4" builtinId="4"/>
    <cellStyle name="Factor" xfId="3" xr:uid="{70969E6C-ACDC-4A9A-A5DD-C81E6403A5F5}"/>
    <cellStyle name="Hyperlink" xfId="2"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9</xdr:col>
      <xdr:colOff>704157</xdr:colOff>
      <xdr:row>58</xdr:row>
      <xdr:rowOff>129540</xdr:rowOff>
    </xdr:to>
    <xdr:pic>
      <xdr:nvPicPr>
        <xdr:cNvPr id="2" name="Picture 1" descr="United States GDP Deflator">
          <a:extLst>
            <a:ext uri="{FF2B5EF4-FFF2-40B4-BE49-F238E27FC236}">
              <a16:creationId xmlns:a16="http://schemas.microsoft.com/office/drawing/2014/main" id="{0EC531FD-E4FE-4149-B471-E6AEE0D4A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06640"/>
          <a:ext cx="695706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rsc\AppData\Local\Microsoft\Windows\INetCache\Content.Outlook\SGB8LGF3\Copy%20of%20Copy%20of%20I%2044%20%20US%2075%20INFRA%20Grant%20Application%20Crash%20Info-%20crash%20reduction%20workshee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able"/>
      <sheetName val="Highways and City Streets"/>
      <sheetName val="VMT data"/>
      <sheetName val="Crash rates"/>
      <sheetName val="Sheet3"/>
    </sheetNames>
    <sheetDataSet>
      <sheetData sheetId="0"/>
      <sheetData sheetId="1"/>
      <sheetData sheetId="2"/>
      <sheetData sheetId="3">
        <row r="17">
          <cell r="F17">
            <v>29739324.000000004</v>
          </cell>
          <cell r="G17">
            <v>42872224.75</v>
          </cell>
        </row>
        <row r="31">
          <cell r="F31">
            <v>28454998.499999996</v>
          </cell>
          <cell r="G31">
            <v>38123063.75</v>
          </cell>
        </row>
        <row r="45">
          <cell r="F45">
            <v>15673172.999999998</v>
          </cell>
          <cell r="G45">
            <v>21149030.75</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mcsa.dot.gov/safety/data-and-statistics/large-truck-and-bus-crash-facts-2017" TargetMode="External"/><Relationship Id="rId1" Type="http://schemas.openxmlformats.org/officeDocument/2006/relationships/hyperlink" Target="https://www.bts.gov/content/average-freight-revenue-ton-mil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cmfclearinghouse.org/results.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6C1F-D5FB-4B32-89EA-66FFF7EED211}">
  <dimension ref="A1:AK24"/>
  <sheetViews>
    <sheetView zoomScaleNormal="100" workbookViewId="0">
      <selection activeCell="N25" sqref="N25"/>
    </sheetView>
  </sheetViews>
  <sheetFormatPr defaultRowHeight="14.4" x14ac:dyDescent="0.3"/>
  <cols>
    <col min="1" max="1" width="45.77734375" customWidth="1"/>
    <col min="2" max="2" width="15.77734375" hidden="1" customWidth="1"/>
    <col min="3" max="3" width="15.77734375" customWidth="1"/>
  </cols>
  <sheetData>
    <row r="1" spans="1:37" x14ac:dyDescent="0.3">
      <c r="A1" t="s">
        <v>5</v>
      </c>
      <c r="G1" s="29" t="s">
        <v>57</v>
      </c>
      <c r="H1" s="29"/>
      <c r="I1" s="29"/>
    </row>
    <row r="2" spans="1:37" x14ac:dyDescent="0.3">
      <c r="A2" t="s">
        <v>0</v>
      </c>
    </row>
    <row r="3" spans="1:37" x14ac:dyDescent="0.3">
      <c r="A3" t="s">
        <v>1</v>
      </c>
      <c r="K3">
        <f t="shared" ref="K3:AK3" si="0">J3+1</f>
        <v>1</v>
      </c>
      <c r="L3">
        <f t="shared" si="0"/>
        <v>2</v>
      </c>
      <c r="M3">
        <f t="shared" si="0"/>
        <v>3</v>
      </c>
      <c r="N3">
        <f t="shared" si="0"/>
        <v>4</v>
      </c>
      <c r="O3">
        <f t="shared" si="0"/>
        <v>5</v>
      </c>
      <c r="P3">
        <f t="shared" si="0"/>
        <v>6</v>
      </c>
      <c r="Q3">
        <f t="shared" si="0"/>
        <v>7</v>
      </c>
      <c r="R3">
        <f t="shared" si="0"/>
        <v>8</v>
      </c>
      <c r="S3">
        <f t="shared" si="0"/>
        <v>9</v>
      </c>
      <c r="T3">
        <f t="shared" si="0"/>
        <v>10</v>
      </c>
      <c r="U3">
        <f t="shared" si="0"/>
        <v>11</v>
      </c>
      <c r="V3">
        <f t="shared" si="0"/>
        <v>12</v>
      </c>
      <c r="W3">
        <f t="shared" si="0"/>
        <v>13</v>
      </c>
      <c r="X3">
        <f t="shared" si="0"/>
        <v>14</v>
      </c>
      <c r="Y3">
        <f t="shared" si="0"/>
        <v>15</v>
      </c>
      <c r="Z3">
        <f t="shared" si="0"/>
        <v>16</v>
      </c>
      <c r="AA3">
        <f t="shared" si="0"/>
        <v>17</v>
      </c>
      <c r="AB3">
        <f t="shared" si="0"/>
        <v>18</v>
      </c>
      <c r="AC3">
        <f t="shared" si="0"/>
        <v>19</v>
      </c>
      <c r="AD3">
        <f t="shared" si="0"/>
        <v>20</v>
      </c>
      <c r="AE3">
        <f t="shared" si="0"/>
        <v>21</v>
      </c>
      <c r="AF3">
        <f t="shared" si="0"/>
        <v>22</v>
      </c>
      <c r="AG3">
        <f t="shared" si="0"/>
        <v>23</v>
      </c>
      <c r="AH3">
        <f t="shared" si="0"/>
        <v>24</v>
      </c>
      <c r="AI3">
        <f t="shared" si="0"/>
        <v>25</v>
      </c>
      <c r="AJ3">
        <f t="shared" si="0"/>
        <v>26</v>
      </c>
      <c r="AK3">
        <f t="shared" si="0"/>
        <v>27</v>
      </c>
    </row>
    <row r="4" spans="1:37" ht="17.399999999999999" x14ac:dyDescent="0.3">
      <c r="A4" t="s">
        <v>2</v>
      </c>
      <c r="D4">
        <v>0</v>
      </c>
      <c r="E4">
        <f>D4+1</f>
        <v>1</v>
      </c>
      <c r="F4">
        <f t="shared" ref="F4:AK4" si="1">E4+1</f>
        <v>2</v>
      </c>
      <c r="G4">
        <f t="shared" si="1"/>
        <v>3</v>
      </c>
      <c r="H4">
        <f t="shared" si="1"/>
        <v>4</v>
      </c>
      <c r="I4">
        <f t="shared" si="1"/>
        <v>5</v>
      </c>
      <c r="J4">
        <f t="shared" si="1"/>
        <v>6</v>
      </c>
      <c r="K4">
        <f t="shared" si="1"/>
        <v>7</v>
      </c>
      <c r="L4">
        <f t="shared" si="1"/>
        <v>8</v>
      </c>
      <c r="M4">
        <f t="shared" si="1"/>
        <v>9</v>
      </c>
      <c r="N4">
        <f t="shared" si="1"/>
        <v>10</v>
      </c>
      <c r="O4">
        <f t="shared" si="1"/>
        <v>11</v>
      </c>
      <c r="P4">
        <f t="shared" si="1"/>
        <v>12</v>
      </c>
      <c r="Q4">
        <f t="shared" si="1"/>
        <v>13</v>
      </c>
      <c r="R4">
        <f t="shared" si="1"/>
        <v>14</v>
      </c>
      <c r="S4">
        <f t="shared" si="1"/>
        <v>15</v>
      </c>
      <c r="T4">
        <f t="shared" si="1"/>
        <v>16</v>
      </c>
      <c r="U4">
        <f t="shared" si="1"/>
        <v>17</v>
      </c>
      <c r="V4">
        <f t="shared" si="1"/>
        <v>18</v>
      </c>
      <c r="W4">
        <f t="shared" si="1"/>
        <v>19</v>
      </c>
      <c r="X4">
        <f t="shared" si="1"/>
        <v>20</v>
      </c>
      <c r="Y4">
        <f t="shared" si="1"/>
        <v>21</v>
      </c>
      <c r="Z4">
        <f t="shared" si="1"/>
        <v>22</v>
      </c>
      <c r="AA4">
        <f t="shared" si="1"/>
        <v>23</v>
      </c>
      <c r="AB4">
        <f t="shared" si="1"/>
        <v>24</v>
      </c>
      <c r="AC4">
        <f t="shared" si="1"/>
        <v>25</v>
      </c>
      <c r="AD4">
        <f t="shared" si="1"/>
        <v>26</v>
      </c>
      <c r="AE4">
        <f t="shared" si="1"/>
        <v>27</v>
      </c>
      <c r="AF4">
        <f t="shared" si="1"/>
        <v>28</v>
      </c>
      <c r="AG4">
        <f t="shared" si="1"/>
        <v>29</v>
      </c>
      <c r="AH4">
        <f t="shared" si="1"/>
        <v>30</v>
      </c>
      <c r="AI4">
        <f t="shared" si="1"/>
        <v>31</v>
      </c>
      <c r="AJ4">
        <f t="shared" si="1"/>
        <v>32</v>
      </c>
      <c r="AK4">
        <f t="shared" si="1"/>
        <v>33</v>
      </c>
    </row>
    <row r="6" spans="1:37" x14ac:dyDescent="0.3">
      <c r="A6" t="s">
        <v>3</v>
      </c>
      <c r="B6" t="s">
        <v>6</v>
      </c>
      <c r="D6">
        <v>2019</v>
      </c>
      <c r="E6" s="30">
        <f>D6+1</f>
        <v>2020</v>
      </c>
      <c r="F6" s="30">
        <f>E6+1</f>
        <v>2021</v>
      </c>
      <c r="G6" s="30">
        <f>F6+1</f>
        <v>2022</v>
      </c>
      <c r="H6">
        <f t="shared" ref="H6:AK6" si="2">G6+1</f>
        <v>2023</v>
      </c>
      <c r="I6">
        <f t="shared" si="2"/>
        <v>2024</v>
      </c>
      <c r="J6">
        <f t="shared" si="2"/>
        <v>2025</v>
      </c>
      <c r="K6">
        <f t="shared" si="2"/>
        <v>2026</v>
      </c>
      <c r="L6">
        <f t="shared" si="2"/>
        <v>2027</v>
      </c>
      <c r="M6">
        <f t="shared" si="2"/>
        <v>2028</v>
      </c>
      <c r="N6">
        <f t="shared" si="2"/>
        <v>2029</v>
      </c>
      <c r="O6">
        <f t="shared" si="2"/>
        <v>2030</v>
      </c>
      <c r="P6">
        <f t="shared" si="2"/>
        <v>2031</v>
      </c>
      <c r="Q6">
        <f t="shared" si="2"/>
        <v>2032</v>
      </c>
      <c r="R6">
        <f t="shared" si="2"/>
        <v>2033</v>
      </c>
      <c r="S6">
        <f t="shared" si="2"/>
        <v>2034</v>
      </c>
      <c r="T6">
        <f t="shared" si="2"/>
        <v>2035</v>
      </c>
      <c r="U6">
        <f t="shared" si="2"/>
        <v>2036</v>
      </c>
      <c r="V6">
        <f t="shared" si="2"/>
        <v>2037</v>
      </c>
      <c r="W6">
        <f t="shared" si="2"/>
        <v>2038</v>
      </c>
      <c r="X6">
        <f t="shared" si="2"/>
        <v>2039</v>
      </c>
      <c r="Y6">
        <f t="shared" si="2"/>
        <v>2040</v>
      </c>
      <c r="Z6">
        <f t="shared" si="2"/>
        <v>2041</v>
      </c>
      <c r="AA6">
        <f t="shared" si="2"/>
        <v>2042</v>
      </c>
      <c r="AB6">
        <f t="shared" si="2"/>
        <v>2043</v>
      </c>
      <c r="AC6">
        <f t="shared" si="2"/>
        <v>2044</v>
      </c>
      <c r="AD6">
        <f t="shared" si="2"/>
        <v>2045</v>
      </c>
      <c r="AE6">
        <f t="shared" si="2"/>
        <v>2046</v>
      </c>
      <c r="AF6">
        <f t="shared" si="2"/>
        <v>2047</v>
      </c>
      <c r="AG6">
        <f t="shared" si="2"/>
        <v>2048</v>
      </c>
      <c r="AH6">
        <f t="shared" si="2"/>
        <v>2049</v>
      </c>
      <c r="AI6">
        <f t="shared" si="2"/>
        <v>2050</v>
      </c>
      <c r="AJ6">
        <f t="shared" si="2"/>
        <v>2051</v>
      </c>
      <c r="AK6">
        <f t="shared" si="2"/>
        <v>2052</v>
      </c>
    </row>
    <row r="7" spans="1:37" x14ac:dyDescent="0.3">
      <c r="B7" t="s">
        <v>4</v>
      </c>
      <c r="E7" s="30"/>
      <c r="F7" s="30"/>
      <c r="G7" s="30"/>
    </row>
    <row r="8" spans="1:37" x14ac:dyDescent="0.3">
      <c r="A8" s="7" t="s">
        <v>131</v>
      </c>
      <c r="B8" s="5" t="e">
        <f>SUM(#REF!)</f>
        <v>#REF!</v>
      </c>
      <c r="C8" s="5"/>
      <c r="D8" s="5"/>
      <c r="E8" s="32"/>
      <c r="F8" s="32"/>
      <c r="G8" s="32"/>
      <c r="H8" s="5">
        <v>0</v>
      </c>
      <c r="I8" s="5">
        <v>54.667000000000002</v>
      </c>
      <c r="J8" s="5">
        <v>54.667000000000002</v>
      </c>
      <c r="K8" s="5">
        <v>54.667000000000002</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row>
    <row r="10" spans="1:37" x14ac:dyDescent="0.3">
      <c r="A10" s="7" t="s">
        <v>129</v>
      </c>
      <c r="B10" s="1"/>
      <c r="C10" s="1"/>
      <c r="E10" s="4"/>
    </row>
    <row r="11" spans="1:37" x14ac:dyDescent="0.3">
      <c r="A11" s="7" t="s">
        <v>134</v>
      </c>
      <c r="B11" s="1"/>
      <c r="C11" s="1"/>
      <c r="E11" s="4"/>
    </row>
    <row r="12" spans="1:37" x14ac:dyDescent="0.3">
      <c r="A12" s="3" t="s">
        <v>132</v>
      </c>
      <c r="B12" s="3"/>
      <c r="C12" s="3"/>
      <c r="O12">
        <v>6.6</v>
      </c>
      <c r="Y12">
        <v>6.6</v>
      </c>
      <c r="AI12">
        <v>6.6</v>
      </c>
    </row>
    <row r="13" spans="1:37" x14ac:dyDescent="0.3">
      <c r="A13" s="3" t="s">
        <v>133</v>
      </c>
      <c r="B13" s="3"/>
      <c r="C13" s="3"/>
      <c r="F13">
        <v>2.4</v>
      </c>
      <c r="G13" s="4"/>
      <c r="H13" s="4"/>
      <c r="I13" s="4"/>
      <c r="J13" s="4"/>
      <c r="K13" s="4"/>
      <c r="L13" s="4"/>
      <c r="M13" s="4"/>
      <c r="N13" s="4"/>
      <c r="O13" s="4">
        <v>2</v>
      </c>
      <c r="P13" s="4"/>
      <c r="Q13" s="4"/>
      <c r="R13" s="4"/>
      <c r="S13" s="4"/>
      <c r="T13" s="4">
        <v>3.3</v>
      </c>
      <c r="U13" s="4"/>
      <c r="V13" s="4"/>
      <c r="W13" s="4"/>
      <c r="X13" s="4"/>
      <c r="Y13" s="4">
        <v>4.9000000000000004</v>
      </c>
      <c r="Z13" s="4"/>
      <c r="AA13" s="4"/>
      <c r="AB13" s="4"/>
      <c r="AC13" s="4"/>
      <c r="AD13" s="4"/>
      <c r="AE13" s="4"/>
      <c r="AF13" s="4"/>
      <c r="AG13" s="4"/>
      <c r="AH13" s="4"/>
      <c r="AI13" s="4">
        <v>10</v>
      </c>
      <c r="AJ13" s="4"/>
      <c r="AK13" s="4"/>
    </row>
    <row r="14" spans="1:37" x14ac:dyDescent="0.3">
      <c r="A14" s="3" t="s">
        <v>140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x14ac:dyDescent="0.3">
      <c r="A15" s="133" t="s">
        <v>42</v>
      </c>
      <c r="D15" s="4">
        <f>D12+D13+D14</f>
        <v>0</v>
      </c>
      <c r="E15" s="4">
        <f t="shared" ref="E15:AK15" si="3">E12+E13+E14</f>
        <v>0</v>
      </c>
      <c r="F15" s="4">
        <f t="shared" si="3"/>
        <v>2.4</v>
      </c>
      <c r="G15" s="4">
        <f t="shared" si="3"/>
        <v>0</v>
      </c>
      <c r="H15" s="4">
        <f t="shared" si="3"/>
        <v>0</v>
      </c>
      <c r="I15" s="4">
        <f t="shared" si="3"/>
        <v>0</v>
      </c>
      <c r="J15" s="4">
        <f t="shared" si="3"/>
        <v>0</v>
      </c>
      <c r="K15" s="4">
        <f t="shared" si="3"/>
        <v>0</v>
      </c>
      <c r="L15" s="4">
        <f t="shared" si="3"/>
        <v>0</v>
      </c>
      <c r="M15" s="4">
        <f t="shared" si="3"/>
        <v>0</v>
      </c>
      <c r="N15" s="4">
        <f t="shared" si="3"/>
        <v>0</v>
      </c>
      <c r="O15" s="4">
        <f t="shared" si="3"/>
        <v>8.6</v>
      </c>
      <c r="P15" s="4">
        <f t="shared" si="3"/>
        <v>0</v>
      </c>
      <c r="Q15" s="4">
        <f t="shared" si="3"/>
        <v>0</v>
      </c>
      <c r="R15" s="4">
        <f t="shared" si="3"/>
        <v>0</v>
      </c>
      <c r="S15" s="4">
        <f t="shared" si="3"/>
        <v>0</v>
      </c>
      <c r="T15" s="4">
        <f t="shared" si="3"/>
        <v>3.3</v>
      </c>
      <c r="U15" s="4">
        <f t="shared" si="3"/>
        <v>0</v>
      </c>
      <c r="V15" s="4">
        <f t="shared" si="3"/>
        <v>0</v>
      </c>
      <c r="W15" s="4">
        <f t="shared" si="3"/>
        <v>0</v>
      </c>
      <c r="X15" s="4">
        <f t="shared" si="3"/>
        <v>0</v>
      </c>
      <c r="Y15" s="4">
        <f t="shared" si="3"/>
        <v>11.5</v>
      </c>
      <c r="Z15" s="4">
        <f t="shared" si="3"/>
        <v>0</v>
      </c>
      <c r="AA15" s="4">
        <f t="shared" si="3"/>
        <v>0</v>
      </c>
      <c r="AB15" s="4">
        <f t="shared" si="3"/>
        <v>0</v>
      </c>
      <c r="AC15" s="4">
        <f t="shared" si="3"/>
        <v>0</v>
      </c>
      <c r="AD15" s="4">
        <f t="shared" si="3"/>
        <v>0</v>
      </c>
      <c r="AE15" s="4">
        <f t="shared" si="3"/>
        <v>0</v>
      </c>
      <c r="AF15" s="4">
        <f t="shared" si="3"/>
        <v>0</v>
      </c>
      <c r="AG15" s="4">
        <f t="shared" si="3"/>
        <v>0</v>
      </c>
      <c r="AH15" s="4">
        <f t="shared" si="3"/>
        <v>0</v>
      </c>
      <c r="AI15" s="4">
        <f t="shared" si="3"/>
        <v>16.600000000000001</v>
      </c>
      <c r="AJ15" s="4">
        <f t="shared" si="3"/>
        <v>0</v>
      </c>
      <c r="AK15" s="4">
        <f t="shared" si="3"/>
        <v>0</v>
      </c>
    </row>
    <row r="16" spans="1:37" x14ac:dyDescent="0.3">
      <c r="A16" s="133"/>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x14ac:dyDescent="0.3">
      <c r="A17" s="125" t="s">
        <v>130</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x14ac:dyDescent="0.3">
      <c r="A18" s="3" t="s">
        <v>139</v>
      </c>
      <c r="K18">
        <v>1</v>
      </c>
      <c r="O18" s="4"/>
      <c r="AD18" s="4">
        <v>5</v>
      </c>
      <c r="AH18" s="4">
        <v>2.5</v>
      </c>
    </row>
    <row r="19" spans="1:37" x14ac:dyDescent="0.3">
      <c r="A19" s="3"/>
    </row>
    <row r="20" spans="1:37" x14ac:dyDescent="0.3">
      <c r="A20" s="7" t="s">
        <v>141</v>
      </c>
      <c r="D20" s="4">
        <f>D15-D18</f>
        <v>0</v>
      </c>
      <c r="E20" s="4">
        <f t="shared" ref="E20:AK20" si="4">E15-E18</f>
        <v>0</v>
      </c>
      <c r="F20" s="4">
        <f t="shared" si="4"/>
        <v>2.4</v>
      </c>
      <c r="G20" s="4">
        <f t="shared" si="4"/>
        <v>0</v>
      </c>
      <c r="H20" s="4">
        <f t="shared" si="4"/>
        <v>0</v>
      </c>
      <c r="I20" s="4">
        <f t="shared" si="4"/>
        <v>0</v>
      </c>
      <c r="J20" s="4">
        <f t="shared" si="4"/>
        <v>0</v>
      </c>
      <c r="K20" s="4">
        <f t="shared" si="4"/>
        <v>-1</v>
      </c>
      <c r="L20" s="4">
        <f t="shared" si="4"/>
        <v>0</v>
      </c>
      <c r="M20" s="4">
        <f t="shared" si="4"/>
        <v>0</v>
      </c>
      <c r="N20" s="4">
        <f t="shared" si="4"/>
        <v>0</v>
      </c>
      <c r="O20" s="4">
        <f t="shared" si="4"/>
        <v>8.6</v>
      </c>
      <c r="P20" s="4">
        <f t="shared" si="4"/>
        <v>0</v>
      </c>
      <c r="Q20" s="4">
        <f t="shared" si="4"/>
        <v>0</v>
      </c>
      <c r="R20" s="4">
        <f t="shared" si="4"/>
        <v>0</v>
      </c>
      <c r="S20" s="4">
        <f t="shared" si="4"/>
        <v>0</v>
      </c>
      <c r="T20" s="4">
        <f t="shared" si="4"/>
        <v>3.3</v>
      </c>
      <c r="U20" s="4">
        <f t="shared" si="4"/>
        <v>0</v>
      </c>
      <c r="V20" s="4">
        <f t="shared" si="4"/>
        <v>0</v>
      </c>
      <c r="W20" s="4">
        <f t="shared" si="4"/>
        <v>0</v>
      </c>
      <c r="X20" s="4">
        <f t="shared" si="4"/>
        <v>0</v>
      </c>
      <c r="Y20" s="4">
        <f t="shared" si="4"/>
        <v>11.5</v>
      </c>
      <c r="Z20" s="4">
        <f t="shared" si="4"/>
        <v>0</v>
      </c>
      <c r="AA20" s="4">
        <f t="shared" si="4"/>
        <v>0</v>
      </c>
      <c r="AB20" s="4">
        <f t="shared" si="4"/>
        <v>0</v>
      </c>
      <c r="AC20" s="4">
        <f t="shared" si="4"/>
        <v>0</v>
      </c>
      <c r="AD20" s="4">
        <f t="shared" si="4"/>
        <v>-5</v>
      </c>
      <c r="AE20" s="4">
        <f t="shared" si="4"/>
        <v>0</v>
      </c>
      <c r="AF20" s="4">
        <f t="shared" si="4"/>
        <v>0</v>
      </c>
      <c r="AG20" s="4">
        <f t="shared" si="4"/>
        <v>0</v>
      </c>
      <c r="AH20" s="4">
        <f t="shared" si="4"/>
        <v>-2.5</v>
      </c>
      <c r="AI20" s="4">
        <f t="shared" si="4"/>
        <v>16.600000000000001</v>
      </c>
      <c r="AJ20" s="4">
        <f t="shared" si="4"/>
        <v>0</v>
      </c>
      <c r="AK20" s="4">
        <f t="shared" si="4"/>
        <v>0</v>
      </c>
    </row>
    <row r="23" spans="1:37" x14ac:dyDescent="0.3">
      <c r="A23" s="3"/>
      <c r="O23" s="4"/>
      <c r="P23" t="s">
        <v>10</v>
      </c>
      <c r="AD23" s="4"/>
      <c r="AH23" s="4"/>
    </row>
    <row r="24" spans="1:37" x14ac:dyDescent="0.3">
      <c r="M24"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929F-4C6D-4D83-B7EC-B0934686FF42}">
  <dimension ref="A2:XFD48"/>
  <sheetViews>
    <sheetView topLeftCell="A4" zoomScale="88" zoomScaleNormal="88" workbookViewId="0">
      <selection activeCell="N46" sqref="N46"/>
    </sheetView>
  </sheetViews>
  <sheetFormatPr defaultRowHeight="14.4" x14ac:dyDescent="0.3"/>
  <cols>
    <col min="1" max="1" width="45.77734375" customWidth="1"/>
    <col min="2" max="2" width="13.6640625" bestFit="1" customWidth="1"/>
    <col min="3" max="3" width="0" hidden="1" customWidth="1"/>
    <col min="4" max="5" width="15.77734375" hidden="1" customWidth="1"/>
    <col min="6" max="6" width="0" hidden="1" customWidth="1"/>
    <col min="7" max="7" width="10.21875" bestFit="1" customWidth="1"/>
    <col min="8" max="8" width="10.88671875" bestFit="1" customWidth="1"/>
    <col min="9" max="9" width="10.5546875" bestFit="1" customWidth="1"/>
    <col min="10" max="53" width="10.77734375" customWidth="1"/>
  </cols>
  <sheetData>
    <row r="2" spans="1:16384" ht="18" x14ac:dyDescent="0.35">
      <c r="A2" s="19" t="s">
        <v>8</v>
      </c>
    </row>
    <row r="4" spans="1:16384" x14ac:dyDescent="0.3">
      <c r="A4" s="1" t="s">
        <v>9</v>
      </c>
      <c r="B4">
        <v>7.0000000000000007E-2</v>
      </c>
    </row>
    <row r="5" spans="1:16384" x14ac:dyDescent="0.3">
      <c r="A5" t="s">
        <v>137</v>
      </c>
      <c r="B5" s="128">
        <f>112.188/110.281</f>
        <v>1.0172921899511249</v>
      </c>
    </row>
    <row r="6" spans="1:16384" hidden="1" x14ac:dyDescent="0.3">
      <c r="A6" t="s">
        <v>55</v>
      </c>
    </row>
    <row r="7" spans="1:16384" hidden="1" x14ac:dyDescent="0.3">
      <c r="A7" t="s">
        <v>30</v>
      </c>
      <c r="B7" s="21"/>
      <c r="C7" t="s">
        <v>29</v>
      </c>
    </row>
    <row r="8" spans="1:16384" hidden="1" x14ac:dyDescent="0.3">
      <c r="A8" s="9" t="s">
        <v>14</v>
      </c>
      <c r="B8" s="9"/>
      <c r="C8" s="9"/>
      <c r="D8" s="9"/>
      <c r="E8" s="9"/>
      <c r="F8" s="9"/>
      <c r="G8" s="9"/>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9"/>
      <c r="AT8" s="9"/>
      <c r="AU8" s="9"/>
      <c r="AV8" s="9"/>
      <c r="AW8" s="9"/>
      <c r="AX8" s="9"/>
      <c r="AY8" s="9"/>
      <c r="AZ8" s="9"/>
      <c r="BA8" s="10"/>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pans="1:16384" hidden="1" x14ac:dyDescent="0.3">
      <c r="A9" s="12"/>
      <c r="B9" s="12"/>
      <c r="C9" s="9"/>
      <c r="D9" s="9"/>
      <c r="E9" s="9"/>
      <c r="F9" s="9" t="s">
        <v>3</v>
      </c>
      <c r="G9" s="9">
        <v>2018</v>
      </c>
      <c r="H9" s="13">
        <v>2019</v>
      </c>
      <c r="I9" s="14">
        <f>H9+1</f>
        <v>2020</v>
      </c>
      <c r="J9" s="14">
        <f t="shared" ref="J9:AZ9" si="0">I9+1</f>
        <v>2021</v>
      </c>
      <c r="K9" s="14">
        <f t="shared" si="0"/>
        <v>2022</v>
      </c>
      <c r="L9" s="14">
        <f t="shared" si="0"/>
        <v>2023</v>
      </c>
      <c r="M9" s="14">
        <f t="shared" si="0"/>
        <v>2024</v>
      </c>
      <c r="N9" s="14">
        <f t="shared" si="0"/>
        <v>2025</v>
      </c>
      <c r="O9" s="14">
        <f t="shared" si="0"/>
        <v>2026</v>
      </c>
      <c r="P9" s="14">
        <f t="shared" si="0"/>
        <v>2027</v>
      </c>
      <c r="Q9" s="14">
        <f t="shared" si="0"/>
        <v>2028</v>
      </c>
      <c r="R9" s="14">
        <f t="shared" si="0"/>
        <v>2029</v>
      </c>
      <c r="S9" s="14">
        <f t="shared" si="0"/>
        <v>2030</v>
      </c>
      <c r="T9" s="14">
        <f t="shared" si="0"/>
        <v>2031</v>
      </c>
      <c r="U9" s="14">
        <f t="shared" si="0"/>
        <v>2032</v>
      </c>
      <c r="V9" s="14">
        <f t="shared" si="0"/>
        <v>2033</v>
      </c>
      <c r="W9" s="14">
        <f t="shared" si="0"/>
        <v>2034</v>
      </c>
      <c r="X9" s="14">
        <f t="shared" si="0"/>
        <v>2035</v>
      </c>
      <c r="Y9" s="14">
        <f t="shared" si="0"/>
        <v>2036</v>
      </c>
      <c r="Z9" s="14">
        <f t="shared" si="0"/>
        <v>2037</v>
      </c>
      <c r="AA9" s="14">
        <f t="shared" si="0"/>
        <v>2038</v>
      </c>
      <c r="AB9" s="14">
        <f t="shared" si="0"/>
        <v>2039</v>
      </c>
      <c r="AC9" s="14">
        <f t="shared" si="0"/>
        <v>2040</v>
      </c>
      <c r="AD9" s="14">
        <f t="shared" si="0"/>
        <v>2041</v>
      </c>
      <c r="AE9" s="14">
        <f t="shared" si="0"/>
        <v>2042</v>
      </c>
      <c r="AF9" s="14">
        <f t="shared" si="0"/>
        <v>2043</v>
      </c>
      <c r="AG9" s="14">
        <f t="shared" si="0"/>
        <v>2044</v>
      </c>
      <c r="AH9" s="14">
        <f t="shared" si="0"/>
        <v>2045</v>
      </c>
      <c r="AI9" s="14">
        <f t="shared" si="0"/>
        <v>2046</v>
      </c>
      <c r="AJ9" s="14">
        <f t="shared" si="0"/>
        <v>2047</v>
      </c>
      <c r="AK9" s="14">
        <f t="shared" si="0"/>
        <v>2048</v>
      </c>
      <c r="AL9" s="14">
        <f t="shared" si="0"/>
        <v>2049</v>
      </c>
      <c r="AM9" s="14">
        <f t="shared" si="0"/>
        <v>2050</v>
      </c>
      <c r="AN9" s="14">
        <f t="shared" si="0"/>
        <v>2051</v>
      </c>
      <c r="AO9" s="14">
        <f t="shared" si="0"/>
        <v>2052</v>
      </c>
      <c r="AP9" s="14">
        <f t="shared" si="0"/>
        <v>2053</v>
      </c>
      <c r="AQ9" s="14">
        <f t="shared" si="0"/>
        <v>2054</v>
      </c>
      <c r="AR9" s="14">
        <f t="shared" si="0"/>
        <v>2055</v>
      </c>
      <c r="AS9" s="14">
        <f t="shared" si="0"/>
        <v>2056</v>
      </c>
      <c r="AT9" s="14">
        <f t="shared" si="0"/>
        <v>2057</v>
      </c>
      <c r="AU9" s="14">
        <f t="shared" si="0"/>
        <v>2058</v>
      </c>
      <c r="AV9" s="14">
        <f t="shared" si="0"/>
        <v>2059</v>
      </c>
      <c r="AW9" s="14">
        <f t="shared" si="0"/>
        <v>2060</v>
      </c>
      <c r="AX9" s="14">
        <f t="shared" si="0"/>
        <v>2061</v>
      </c>
      <c r="AY9" s="14">
        <f t="shared" si="0"/>
        <v>2062</v>
      </c>
      <c r="AZ9" s="14">
        <f t="shared" si="0"/>
        <v>2063</v>
      </c>
      <c r="BA9" s="10"/>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pans="1:16384" hidden="1" x14ac:dyDescent="0.3">
      <c r="A10" s="12"/>
      <c r="B10" s="9"/>
      <c r="C10" s="9"/>
      <c r="D10" s="9" t="s">
        <v>20</v>
      </c>
      <c r="E10" s="9" t="s">
        <v>11</v>
      </c>
      <c r="F10" s="9" t="s">
        <v>12</v>
      </c>
      <c r="G10" s="9"/>
      <c r="H10" s="15">
        <v>0.23845525413830099</v>
      </c>
      <c r="I10" s="15">
        <v>0.229448514887822</v>
      </c>
      <c r="J10" s="15">
        <v>0.22128532552645799</v>
      </c>
      <c r="K10" s="15">
        <v>0.213740984713436</v>
      </c>
      <c r="L10" s="15">
        <v>0.20605578160489901</v>
      </c>
      <c r="M10" s="15">
        <v>0.19808814017461801</v>
      </c>
      <c r="N10" s="15">
        <v>0.19012388597273</v>
      </c>
      <c r="O10" s="15">
        <v>0.18014229637564799</v>
      </c>
      <c r="P10" s="15">
        <v>0.17050438534863699</v>
      </c>
      <c r="Q10" s="15">
        <v>0.161186875076159</v>
      </c>
      <c r="R10" s="15">
        <v>0.151203022836641</v>
      </c>
      <c r="S10" s="15">
        <v>0.14005816642584201</v>
      </c>
      <c r="T10" s="15">
        <v>0.12964290551842</v>
      </c>
      <c r="U10" s="15">
        <v>0.119986787518783</v>
      </c>
      <c r="V10" s="15">
        <v>0.110950796705681</v>
      </c>
      <c r="W10" s="15">
        <v>0.102651120642238</v>
      </c>
      <c r="X10" s="15">
        <v>9.6437224275350106E-2</v>
      </c>
      <c r="Y10" s="15">
        <v>9.3520371357949203E-2</v>
      </c>
      <c r="Z10" s="15">
        <v>9.1147603753211501E-2</v>
      </c>
      <c r="AA10" s="15">
        <v>8.9111970005154806E-2</v>
      </c>
      <c r="AB10" s="15">
        <v>8.7190357688443895E-2</v>
      </c>
      <c r="AC10" s="15">
        <v>8.53714372089978E-2</v>
      </c>
      <c r="AD10" s="15">
        <v>8.3761938904139299E-2</v>
      </c>
      <c r="AE10" s="15">
        <v>8.2358198583763698E-2</v>
      </c>
      <c r="AF10" s="15">
        <v>8.11597985481078E-2</v>
      </c>
      <c r="AG10" s="15">
        <v>8.0024166212887798E-2</v>
      </c>
      <c r="AH10" s="15">
        <v>7.8862515873861005E-2</v>
      </c>
      <c r="AI10" s="15">
        <v>7.7681680446433796E-2</v>
      </c>
      <c r="AJ10" s="15">
        <v>7.6474097945105596E-2</v>
      </c>
      <c r="AK10" s="15">
        <v>7.5311159803658198E-2</v>
      </c>
      <c r="AL10" s="15">
        <v>7.4029610609153196E-2</v>
      </c>
      <c r="AM10" s="15">
        <v>7.2690891786552705E-2</v>
      </c>
      <c r="AN10" s="15">
        <v>7.2690891786552705E-2</v>
      </c>
      <c r="AO10" s="15">
        <v>7.2690891786552705E-2</v>
      </c>
      <c r="AP10" s="15">
        <v>7.2690891786552705E-2</v>
      </c>
      <c r="AQ10" s="15">
        <v>7.2690891786552705E-2</v>
      </c>
      <c r="AR10" s="15">
        <v>7.2690891786552705E-2</v>
      </c>
      <c r="AS10" s="15">
        <v>7.2690891786552705E-2</v>
      </c>
      <c r="AT10" s="15">
        <v>7.2690891786552705E-2</v>
      </c>
      <c r="AU10" s="15">
        <v>7.2690891786552705E-2</v>
      </c>
      <c r="AV10" s="15">
        <v>7.2690891786552705E-2</v>
      </c>
      <c r="AW10" s="15">
        <v>7.2690891786552705E-2</v>
      </c>
      <c r="AX10" s="15">
        <v>7.2690891786552705E-2</v>
      </c>
      <c r="AY10" s="15">
        <v>7.2690891786552705E-2</v>
      </c>
      <c r="AZ10" s="15">
        <v>7.2690891786552705E-2</v>
      </c>
      <c r="BA10" s="10"/>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pans="1:16384" hidden="1" x14ac:dyDescent="0.3">
      <c r="A11" s="12"/>
      <c r="B11" s="9"/>
      <c r="C11" s="9"/>
      <c r="D11" s="9" t="s">
        <v>17</v>
      </c>
      <c r="E11" s="9" t="s">
        <v>13</v>
      </c>
      <c r="F11" s="9" t="s">
        <v>12</v>
      </c>
      <c r="G11" s="9"/>
      <c r="H11" s="15">
        <v>7.2759999999999536</v>
      </c>
      <c r="I11" s="15">
        <v>6.8399999999999181</v>
      </c>
      <c r="J11" s="15">
        <v>6.4039999999999964</v>
      </c>
      <c r="K11" s="15">
        <v>5.9679999999999609</v>
      </c>
      <c r="L11" s="15">
        <v>5.5319999999999254</v>
      </c>
      <c r="M11" s="15">
        <v>5.0960000000000036</v>
      </c>
      <c r="N11" s="15">
        <v>4.6599999999999682</v>
      </c>
      <c r="O11" s="15">
        <v>4.2239999999999327</v>
      </c>
      <c r="P11" s="15">
        <v>3.7879999999998972</v>
      </c>
      <c r="Q11" s="15">
        <v>3.3519999999999754</v>
      </c>
      <c r="R11" s="15">
        <v>2.91599999999994</v>
      </c>
      <c r="S11" s="15">
        <v>2.4799999999999045</v>
      </c>
      <c r="T11" s="15">
        <v>2.436000000000007</v>
      </c>
      <c r="U11" s="15">
        <v>2.3919999999999959</v>
      </c>
      <c r="V11" s="15">
        <v>2.347999999999999</v>
      </c>
      <c r="W11" s="15">
        <v>2.304000000000002</v>
      </c>
      <c r="X11" s="15">
        <v>2.2600000000000051</v>
      </c>
      <c r="Y11" s="15">
        <v>2.2160000000000082</v>
      </c>
      <c r="Z11" s="15">
        <v>2.171999999999997</v>
      </c>
      <c r="AA11" s="15">
        <v>2.1280000000000001</v>
      </c>
      <c r="AB11" s="15">
        <v>2.0840000000000032</v>
      </c>
      <c r="AC11" s="15">
        <v>2.0400000000000063</v>
      </c>
      <c r="AD11" s="15">
        <v>2.0400000000000063</v>
      </c>
      <c r="AE11" s="15">
        <v>2.0400000000000063</v>
      </c>
      <c r="AF11" s="15">
        <v>2.0400000000000063</v>
      </c>
      <c r="AG11" s="15">
        <v>2.0400000000000063</v>
      </c>
      <c r="AH11" s="15">
        <v>2.0400000000000063</v>
      </c>
      <c r="AI11" s="15">
        <v>2.0400000000000063</v>
      </c>
      <c r="AJ11" s="15">
        <v>2.0400000000000063</v>
      </c>
      <c r="AK11" s="15">
        <v>2.0400000000000063</v>
      </c>
      <c r="AL11" s="15">
        <v>2.0400000000000063</v>
      </c>
      <c r="AM11" s="15">
        <v>2.0400000000000063</v>
      </c>
      <c r="AN11" s="15">
        <v>2.0400000000000063</v>
      </c>
      <c r="AO11" s="15">
        <v>2.0400000000000063</v>
      </c>
      <c r="AP11" s="15">
        <v>2.0400000000000063</v>
      </c>
      <c r="AQ11" s="15">
        <v>2.0400000000000063</v>
      </c>
      <c r="AR11" s="15">
        <v>2.0400000000000063</v>
      </c>
      <c r="AS11" s="15">
        <v>2.0400000000000063</v>
      </c>
      <c r="AT11" s="15">
        <v>2.0400000000000063</v>
      </c>
      <c r="AU11" s="15">
        <v>2.0400000000000063</v>
      </c>
      <c r="AV11" s="15">
        <v>2.0400000000000063</v>
      </c>
      <c r="AW11" s="15">
        <v>2.0400000000000063</v>
      </c>
      <c r="AX11" s="15">
        <v>2.0400000000000063</v>
      </c>
      <c r="AY11" s="15">
        <v>2.0400000000000063</v>
      </c>
      <c r="AZ11" s="15">
        <v>2.0400000000000063</v>
      </c>
      <c r="BA11" s="10"/>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pans="1:16384" hidden="1" x14ac:dyDescent="0.3">
      <c r="A12" s="12"/>
      <c r="B12" s="9"/>
      <c r="C12" s="9"/>
      <c r="D12" s="9" t="s">
        <v>16</v>
      </c>
      <c r="E12" s="9" t="s">
        <v>13</v>
      </c>
      <c r="F12" s="9" t="s">
        <v>12</v>
      </c>
      <c r="G12" s="9"/>
      <c r="H12" s="15">
        <v>0.28246666666667153</v>
      </c>
      <c r="I12" s="15">
        <v>0.26133333333333297</v>
      </c>
      <c r="J12" s="15">
        <v>0.24020000000000152</v>
      </c>
      <c r="K12" s="15">
        <v>0.21906666666667007</v>
      </c>
      <c r="L12" s="15">
        <v>0.19793333333333862</v>
      </c>
      <c r="M12" s="15">
        <v>0.17680000000000007</v>
      </c>
      <c r="N12" s="15">
        <v>0.15566666666666862</v>
      </c>
      <c r="O12" s="15">
        <v>0.13453333333333717</v>
      </c>
      <c r="P12" s="15">
        <v>0.11340000000000572</v>
      </c>
      <c r="Q12" s="15">
        <v>9.2266666666667163E-2</v>
      </c>
      <c r="R12" s="15">
        <v>7.1133333333335713E-2</v>
      </c>
      <c r="S12" s="15">
        <v>5.0000000000004263E-2</v>
      </c>
      <c r="T12" s="15">
        <v>4.7900000000000276E-2</v>
      </c>
      <c r="U12" s="15">
        <v>4.5799999999999841E-2</v>
      </c>
      <c r="V12" s="15">
        <v>4.3700000000000294E-2</v>
      </c>
      <c r="W12" s="15">
        <v>4.1599999999999859E-2</v>
      </c>
      <c r="X12" s="15">
        <v>3.9500000000000313E-2</v>
      </c>
      <c r="Y12" s="15">
        <v>3.7399999999999878E-2</v>
      </c>
      <c r="Z12" s="15">
        <v>3.5300000000000331E-2</v>
      </c>
      <c r="AA12" s="15">
        <v>3.3199999999999896E-2</v>
      </c>
      <c r="AB12" s="15">
        <v>3.110000000000035E-2</v>
      </c>
      <c r="AC12" s="15">
        <v>2.8999999999999915E-2</v>
      </c>
      <c r="AD12" s="15">
        <v>2.8999999999999915E-2</v>
      </c>
      <c r="AE12" s="15">
        <v>2.8999999999999915E-2</v>
      </c>
      <c r="AF12" s="15">
        <v>2.8999999999999915E-2</v>
      </c>
      <c r="AG12" s="15">
        <v>2.8999999999999915E-2</v>
      </c>
      <c r="AH12" s="15">
        <v>2.8999999999999915E-2</v>
      </c>
      <c r="AI12" s="15">
        <v>2.8999999999999915E-2</v>
      </c>
      <c r="AJ12" s="15">
        <v>2.8999999999999915E-2</v>
      </c>
      <c r="AK12" s="15">
        <v>2.8999999999999915E-2</v>
      </c>
      <c r="AL12" s="15">
        <v>2.8999999999999915E-2</v>
      </c>
      <c r="AM12" s="15">
        <v>2.8999999999999915E-2</v>
      </c>
      <c r="AN12" s="15">
        <v>2.8999999999999915E-2</v>
      </c>
      <c r="AO12" s="15">
        <v>2.8999999999999915E-2</v>
      </c>
      <c r="AP12" s="15">
        <v>2.8999999999999915E-2</v>
      </c>
      <c r="AQ12" s="15">
        <v>2.8999999999999915E-2</v>
      </c>
      <c r="AR12" s="15">
        <v>2.8999999999999915E-2</v>
      </c>
      <c r="AS12" s="15">
        <v>2.8999999999999915E-2</v>
      </c>
      <c r="AT12" s="15">
        <v>2.8999999999999915E-2</v>
      </c>
      <c r="AU12" s="15">
        <v>2.8999999999999915E-2</v>
      </c>
      <c r="AV12" s="15">
        <v>2.8999999999999915E-2</v>
      </c>
      <c r="AW12" s="15">
        <v>2.8999999999999915E-2</v>
      </c>
      <c r="AX12" s="15">
        <v>2.8999999999999915E-2</v>
      </c>
      <c r="AY12" s="15">
        <v>2.8999999999999915E-2</v>
      </c>
      <c r="AZ12" s="15">
        <v>2.8999999999999915E-2</v>
      </c>
      <c r="BA12" s="10"/>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pans="1:16384" hidden="1" x14ac:dyDescent="0.3">
      <c r="A13" s="12"/>
      <c r="B13" s="9"/>
      <c r="C13" s="9"/>
      <c r="D13" s="9" t="s">
        <v>18</v>
      </c>
      <c r="E13" s="9" t="s">
        <v>11</v>
      </c>
      <c r="F13" s="9" t="s">
        <v>12</v>
      </c>
      <c r="G13" s="9"/>
      <c r="H13" s="15">
        <v>1.41052268790908E-2</v>
      </c>
      <c r="I13" s="15">
        <v>1.39070798715865E-2</v>
      </c>
      <c r="J13" s="15">
        <v>1.3675238277979101E-2</v>
      </c>
      <c r="K13" s="15">
        <v>1.34464957215297E-2</v>
      </c>
      <c r="L13" s="15">
        <v>1.32163949547835E-2</v>
      </c>
      <c r="M13" s="15">
        <v>1.2962698624175199E-2</v>
      </c>
      <c r="N13" s="15">
        <v>1.2711931564500199E-2</v>
      </c>
      <c r="O13" s="15">
        <v>1.24434172178263E-2</v>
      </c>
      <c r="P13" s="15">
        <v>1.2170723876951201E-2</v>
      </c>
      <c r="Q13" s="15">
        <v>1.19058354500798E-2</v>
      </c>
      <c r="R13" s="15">
        <v>1.1641084747090399E-2</v>
      </c>
      <c r="S13" s="15">
        <v>1.13691238132087E-2</v>
      </c>
      <c r="T13" s="15">
        <v>1.1103229243294099E-2</v>
      </c>
      <c r="U13" s="15">
        <v>1.08557902264214E-2</v>
      </c>
      <c r="V13" s="15">
        <v>1.06182559191301E-2</v>
      </c>
      <c r="W13" s="15">
        <v>1.0392454454753799E-2</v>
      </c>
      <c r="X13" s="15">
        <v>1.0191595619381801E-2</v>
      </c>
      <c r="Y13" s="15">
        <v>1.00154112669779E-2</v>
      </c>
      <c r="Z13" s="15">
        <v>9.8594657533272508E-3</v>
      </c>
      <c r="AA13" s="15">
        <v>9.7197130888271796E-3</v>
      </c>
      <c r="AB13" s="15">
        <v>9.5903046132598899E-3</v>
      </c>
      <c r="AC13" s="15">
        <v>9.4676369948200195E-3</v>
      </c>
      <c r="AD13" s="15">
        <v>9.3544101262402202E-3</v>
      </c>
      <c r="AE13" s="15">
        <v>9.2501225759356494E-3</v>
      </c>
      <c r="AF13" s="15">
        <v>9.1540348686191993E-3</v>
      </c>
      <c r="AG13" s="15">
        <v>9.0608917648273193E-3</v>
      </c>
      <c r="AH13" s="15">
        <v>8.9730762550329808E-3</v>
      </c>
      <c r="AI13" s="15">
        <v>8.8913174546989705E-3</v>
      </c>
      <c r="AJ13" s="15">
        <v>8.8158803185228399E-3</v>
      </c>
      <c r="AK13" s="15">
        <v>8.7507424246942005E-3</v>
      </c>
      <c r="AL13" s="15">
        <v>8.6912634866610997E-3</v>
      </c>
      <c r="AM13" s="15">
        <v>8.6426241199549694E-3</v>
      </c>
      <c r="AN13" s="15">
        <v>8.6426241199549694E-3</v>
      </c>
      <c r="AO13" s="15">
        <v>8.6426241199549694E-3</v>
      </c>
      <c r="AP13" s="15">
        <v>8.6426241199549694E-3</v>
      </c>
      <c r="AQ13" s="15">
        <v>8.6426241199549694E-3</v>
      </c>
      <c r="AR13" s="15">
        <v>8.6426241199549694E-3</v>
      </c>
      <c r="AS13" s="15">
        <v>8.6426241199549694E-3</v>
      </c>
      <c r="AT13" s="15">
        <v>8.6426241199549694E-3</v>
      </c>
      <c r="AU13" s="15">
        <v>8.6426241199549694E-3</v>
      </c>
      <c r="AV13" s="15">
        <v>8.6426241199549694E-3</v>
      </c>
      <c r="AW13" s="15">
        <v>8.6426241199549694E-3</v>
      </c>
      <c r="AX13" s="15">
        <v>8.6426241199549694E-3</v>
      </c>
      <c r="AY13" s="15">
        <v>8.6426241199549694E-3</v>
      </c>
      <c r="AZ13" s="15">
        <v>8.6426241199549694E-3</v>
      </c>
      <c r="BA13" s="10"/>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pans="1:16384" hidden="1" x14ac:dyDescent="0.3">
      <c r="A14" s="12"/>
      <c r="B14" s="9"/>
      <c r="C14" s="9"/>
      <c r="D14" s="9" t="s">
        <v>19</v>
      </c>
      <c r="E14" s="9" t="s">
        <v>13</v>
      </c>
      <c r="F14" s="9" t="s">
        <v>12</v>
      </c>
      <c r="G14" s="9"/>
      <c r="H14" s="15">
        <v>0.72653333333333592</v>
      </c>
      <c r="I14" s="15">
        <v>0.69266666666666765</v>
      </c>
      <c r="J14" s="15">
        <v>0.65879999999999939</v>
      </c>
      <c r="K14" s="15">
        <v>0.62493333333333112</v>
      </c>
      <c r="L14" s="15">
        <v>0.59106666666666285</v>
      </c>
      <c r="M14" s="15">
        <v>0.55719999999999459</v>
      </c>
      <c r="N14" s="15">
        <v>0.52333333333332632</v>
      </c>
      <c r="O14" s="15">
        <v>0.48946666666667227</v>
      </c>
      <c r="P14" s="15">
        <v>0.455600000000004</v>
      </c>
      <c r="Q14" s="15">
        <v>0.42173333333333574</v>
      </c>
      <c r="R14" s="15">
        <v>0.38786666666666747</v>
      </c>
      <c r="S14" s="15">
        <v>0.3539999999999992</v>
      </c>
      <c r="T14" s="15">
        <v>0.35029999999999983</v>
      </c>
      <c r="U14" s="15">
        <v>0.34659999999999958</v>
      </c>
      <c r="V14" s="15">
        <v>0.3429000000000002</v>
      </c>
      <c r="W14" s="15">
        <v>0.33919999999999995</v>
      </c>
      <c r="X14" s="15">
        <v>0.33549999999999969</v>
      </c>
      <c r="Y14" s="15">
        <v>0.33179999999999943</v>
      </c>
      <c r="Z14" s="15">
        <v>0.32810000000000006</v>
      </c>
      <c r="AA14" s="15">
        <v>0.3243999999999998</v>
      </c>
      <c r="AB14" s="15">
        <v>0.32069999999999954</v>
      </c>
      <c r="AC14" s="15">
        <v>0.31700000000000017</v>
      </c>
      <c r="AD14" s="15">
        <v>0.31700000000000017</v>
      </c>
      <c r="AE14" s="15">
        <v>0.31700000000000017</v>
      </c>
      <c r="AF14" s="15">
        <v>0.31700000000000017</v>
      </c>
      <c r="AG14" s="15">
        <v>0.31700000000000017</v>
      </c>
      <c r="AH14" s="15">
        <v>0.31700000000000017</v>
      </c>
      <c r="AI14" s="15">
        <v>0.31700000000000017</v>
      </c>
      <c r="AJ14" s="15">
        <v>0.31700000000000017</v>
      </c>
      <c r="AK14" s="15">
        <v>0.31700000000000017</v>
      </c>
      <c r="AL14" s="15">
        <v>0.31700000000000017</v>
      </c>
      <c r="AM14" s="15">
        <v>0.31700000000000017</v>
      </c>
      <c r="AN14" s="15">
        <v>0.31700000000000017</v>
      </c>
      <c r="AO14" s="15">
        <v>0.31700000000000017</v>
      </c>
      <c r="AP14" s="15">
        <v>0.31700000000000017</v>
      </c>
      <c r="AQ14" s="15">
        <v>0.31700000000000017</v>
      </c>
      <c r="AR14" s="15">
        <v>0.31700000000000017</v>
      </c>
      <c r="AS14" s="15">
        <v>0.31700000000000017</v>
      </c>
      <c r="AT14" s="15">
        <v>0.31700000000000017</v>
      </c>
      <c r="AU14" s="15">
        <v>0.31700000000000017</v>
      </c>
      <c r="AV14" s="15">
        <v>0.31700000000000017</v>
      </c>
      <c r="AW14" s="15">
        <v>0.31700000000000017</v>
      </c>
      <c r="AX14" s="15">
        <v>0.31700000000000017</v>
      </c>
      <c r="AY14" s="15">
        <v>0.31700000000000017</v>
      </c>
      <c r="AZ14" s="15">
        <v>0.31700000000000017</v>
      </c>
      <c r="BA14" s="10"/>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pans="1:16384" ht="15.6" hidden="1" x14ac:dyDescent="0.35">
      <c r="A15" s="12"/>
      <c r="B15" s="9"/>
      <c r="C15" s="9"/>
      <c r="D15" s="9" t="s">
        <v>15</v>
      </c>
      <c r="E15" s="9" t="s">
        <v>13</v>
      </c>
      <c r="F15" s="9" t="s">
        <v>12</v>
      </c>
      <c r="G15" s="9"/>
      <c r="H15" s="15">
        <v>1832.7599999999984</v>
      </c>
      <c r="I15" s="15">
        <v>1821.0999999999985</v>
      </c>
      <c r="J15" s="15">
        <v>1809.4399999999987</v>
      </c>
      <c r="K15" s="15">
        <v>1797.7799999999988</v>
      </c>
      <c r="L15" s="15">
        <v>1786.119999999999</v>
      </c>
      <c r="M15" s="15">
        <v>1774.4599999999991</v>
      </c>
      <c r="N15" s="15">
        <v>1762.7999999999993</v>
      </c>
      <c r="O15" s="15">
        <v>1751.1399999999994</v>
      </c>
      <c r="P15" s="15">
        <v>1739.4799999999996</v>
      </c>
      <c r="Q15" s="15">
        <v>1727.8199999999997</v>
      </c>
      <c r="R15" s="15">
        <v>1716.1599999999999</v>
      </c>
      <c r="S15" s="15">
        <v>1704.5</v>
      </c>
      <c r="T15" s="15">
        <v>1702.3999999999996</v>
      </c>
      <c r="U15" s="15">
        <v>1700.3000000000002</v>
      </c>
      <c r="V15" s="15">
        <v>1698.1999999999998</v>
      </c>
      <c r="W15" s="15">
        <v>1696.0999999999995</v>
      </c>
      <c r="X15" s="15">
        <v>1694</v>
      </c>
      <c r="Y15" s="15">
        <v>1691.8999999999996</v>
      </c>
      <c r="Z15" s="15">
        <v>1689.8000000000002</v>
      </c>
      <c r="AA15" s="15">
        <v>1687.6999999999998</v>
      </c>
      <c r="AB15" s="15">
        <v>1685.5999999999995</v>
      </c>
      <c r="AC15" s="15">
        <v>1683.5</v>
      </c>
      <c r="AD15" s="15">
        <v>1683.5</v>
      </c>
      <c r="AE15" s="15">
        <v>1683.5</v>
      </c>
      <c r="AF15" s="15">
        <v>1683.5</v>
      </c>
      <c r="AG15" s="15">
        <v>1683.5</v>
      </c>
      <c r="AH15" s="15">
        <v>1683.5</v>
      </c>
      <c r="AI15" s="15">
        <v>1683.5</v>
      </c>
      <c r="AJ15" s="15">
        <v>1683.5</v>
      </c>
      <c r="AK15" s="15">
        <v>1683.5</v>
      </c>
      <c r="AL15" s="15">
        <v>1683.5</v>
      </c>
      <c r="AM15" s="15">
        <v>1683.5</v>
      </c>
      <c r="AN15" s="15">
        <v>1683.5</v>
      </c>
      <c r="AO15" s="15">
        <v>1683.5</v>
      </c>
      <c r="AP15" s="15">
        <v>1683.5</v>
      </c>
      <c r="AQ15" s="15">
        <v>1683.5</v>
      </c>
      <c r="AR15" s="15">
        <v>1683.5</v>
      </c>
      <c r="AS15" s="15">
        <v>1683.5</v>
      </c>
      <c r="AT15" s="15">
        <v>1683.5</v>
      </c>
      <c r="AU15" s="15">
        <v>1683.5</v>
      </c>
      <c r="AV15" s="15">
        <v>1683.5</v>
      </c>
      <c r="AW15" s="15">
        <v>1683.5</v>
      </c>
      <c r="AX15" s="15">
        <v>1683.5</v>
      </c>
      <c r="AY15" s="15">
        <v>1683.5</v>
      </c>
      <c r="AZ15" s="15">
        <v>1683.5</v>
      </c>
      <c r="BA15" s="10"/>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spans="1:16384" hidden="1" x14ac:dyDescent="0.3"/>
    <row r="17" spans="1:52" hidden="1" x14ac:dyDescent="0.3">
      <c r="A17" s="9" t="s">
        <v>23</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row>
    <row r="18" spans="1:52" hidden="1" x14ac:dyDescent="0.3">
      <c r="A18" s="9"/>
      <c r="B18" s="9"/>
      <c r="C18" s="9"/>
      <c r="D18" s="9"/>
      <c r="E18" s="9">
        <v>2017</v>
      </c>
      <c r="F18" s="9"/>
      <c r="G18" s="9">
        <v>2018</v>
      </c>
      <c r="H18" s="9">
        <f>G18+1</f>
        <v>2019</v>
      </c>
      <c r="I18" s="9">
        <f t="shared" ref="I18:AZ18" si="1">H18+1</f>
        <v>2020</v>
      </c>
      <c r="J18" s="9">
        <f t="shared" si="1"/>
        <v>2021</v>
      </c>
      <c r="K18" s="9">
        <f t="shared" si="1"/>
        <v>2022</v>
      </c>
      <c r="L18" s="9">
        <f t="shared" si="1"/>
        <v>2023</v>
      </c>
      <c r="M18" s="9">
        <f t="shared" si="1"/>
        <v>2024</v>
      </c>
      <c r="N18" s="9">
        <f t="shared" si="1"/>
        <v>2025</v>
      </c>
      <c r="O18" s="9">
        <f t="shared" si="1"/>
        <v>2026</v>
      </c>
      <c r="P18" s="9">
        <f t="shared" si="1"/>
        <v>2027</v>
      </c>
      <c r="Q18" s="9">
        <f t="shared" si="1"/>
        <v>2028</v>
      </c>
      <c r="R18" s="9">
        <f t="shared" si="1"/>
        <v>2029</v>
      </c>
      <c r="S18" s="9">
        <f t="shared" si="1"/>
        <v>2030</v>
      </c>
      <c r="T18" s="9">
        <f t="shared" si="1"/>
        <v>2031</v>
      </c>
      <c r="U18" s="9">
        <f t="shared" si="1"/>
        <v>2032</v>
      </c>
      <c r="V18" s="9">
        <f t="shared" si="1"/>
        <v>2033</v>
      </c>
      <c r="W18" s="9">
        <f t="shared" si="1"/>
        <v>2034</v>
      </c>
      <c r="X18" s="9">
        <f t="shared" si="1"/>
        <v>2035</v>
      </c>
      <c r="Y18" s="9">
        <f t="shared" si="1"/>
        <v>2036</v>
      </c>
      <c r="Z18" s="9">
        <f t="shared" si="1"/>
        <v>2037</v>
      </c>
      <c r="AA18" s="9">
        <f t="shared" si="1"/>
        <v>2038</v>
      </c>
      <c r="AB18" s="9">
        <f t="shared" si="1"/>
        <v>2039</v>
      </c>
      <c r="AC18" s="9">
        <f t="shared" si="1"/>
        <v>2040</v>
      </c>
      <c r="AD18" s="9">
        <f t="shared" si="1"/>
        <v>2041</v>
      </c>
      <c r="AE18" s="9">
        <f t="shared" si="1"/>
        <v>2042</v>
      </c>
      <c r="AF18" s="9">
        <f t="shared" si="1"/>
        <v>2043</v>
      </c>
      <c r="AG18" s="9">
        <f t="shared" si="1"/>
        <v>2044</v>
      </c>
      <c r="AH18" s="9">
        <f t="shared" si="1"/>
        <v>2045</v>
      </c>
      <c r="AI18" s="9">
        <f t="shared" si="1"/>
        <v>2046</v>
      </c>
      <c r="AJ18" s="9">
        <f t="shared" si="1"/>
        <v>2047</v>
      </c>
      <c r="AK18" s="9">
        <f t="shared" si="1"/>
        <v>2048</v>
      </c>
      <c r="AL18" s="9">
        <f t="shared" si="1"/>
        <v>2049</v>
      </c>
      <c r="AM18" s="9">
        <f t="shared" si="1"/>
        <v>2050</v>
      </c>
      <c r="AN18" s="9">
        <f t="shared" si="1"/>
        <v>2051</v>
      </c>
      <c r="AO18" s="9">
        <f t="shared" si="1"/>
        <v>2052</v>
      </c>
      <c r="AP18" s="9">
        <f t="shared" si="1"/>
        <v>2053</v>
      </c>
      <c r="AQ18" s="9">
        <f t="shared" si="1"/>
        <v>2054</v>
      </c>
      <c r="AR18" s="9">
        <f t="shared" si="1"/>
        <v>2055</v>
      </c>
      <c r="AS18" s="9">
        <f t="shared" si="1"/>
        <v>2056</v>
      </c>
      <c r="AT18" s="9">
        <f t="shared" si="1"/>
        <v>2057</v>
      </c>
      <c r="AU18" s="9">
        <f t="shared" si="1"/>
        <v>2058</v>
      </c>
      <c r="AV18" s="9">
        <f t="shared" si="1"/>
        <v>2059</v>
      </c>
      <c r="AW18" s="9">
        <f t="shared" si="1"/>
        <v>2060</v>
      </c>
      <c r="AX18" s="9">
        <f t="shared" si="1"/>
        <v>2061</v>
      </c>
      <c r="AY18" s="9">
        <f t="shared" si="1"/>
        <v>2062</v>
      </c>
      <c r="AZ18" s="9">
        <f t="shared" si="1"/>
        <v>2063</v>
      </c>
    </row>
    <row r="19" spans="1:52" ht="15.6" hidden="1" x14ac:dyDescent="0.35">
      <c r="A19" s="17" t="s">
        <v>15</v>
      </c>
      <c r="B19" s="9"/>
      <c r="C19" s="9"/>
      <c r="D19" s="9"/>
      <c r="E19" s="9">
        <v>1</v>
      </c>
      <c r="F19" s="9"/>
      <c r="G19" s="9"/>
      <c r="H19" s="18">
        <f>E19*B5</f>
        <v>1.0172921899511249</v>
      </c>
      <c r="I19" s="18">
        <f>H19</f>
        <v>1.0172921899511249</v>
      </c>
      <c r="J19" s="18">
        <f t="shared" ref="J19:AZ19" si="2">I19</f>
        <v>1.0172921899511249</v>
      </c>
      <c r="K19" s="18">
        <f t="shared" si="2"/>
        <v>1.0172921899511249</v>
      </c>
      <c r="L19" s="18">
        <f t="shared" si="2"/>
        <v>1.0172921899511249</v>
      </c>
      <c r="M19" s="18">
        <f t="shared" si="2"/>
        <v>1.0172921899511249</v>
      </c>
      <c r="N19" s="18">
        <f t="shared" si="2"/>
        <v>1.0172921899511249</v>
      </c>
      <c r="O19" s="18">
        <f t="shared" si="2"/>
        <v>1.0172921899511249</v>
      </c>
      <c r="P19" s="18">
        <f t="shared" si="2"/>
        <v>1.0172921899511249</v>
      </c>
      <c r="Q19" s="18">
        <f t="shared" si="2"/>
        <v>1.0172921899511249</v>
      </c>
      <c r="R19" s="18">
        <f t="shared" si="2"/>
        <v>1.0172921899511249</v>
      </c>
      <c r="S19" s="18">
        <f t="shared" si="2"/>
        <v>1.0172921899511249</v>
      </c>
      <c r="T19" s="18">
        <f t="shared" si="2"/>
        <v>1.0172921899511249</v>
      </c>
      <c r="U19" s="18">
        <f t="shared" si="2"/>
        <v>1.0172921899511249</v>
      </c>
      <c r="V19" s="18">
        <f t="shared" si="2"/>
        <v>1.0172921899511249</v>
      </c>
      <c r="W19" s="18">
        <f t="shared" si="2"/>
        <v>1.0172921899511249</v>
      </c>
      <c r="X19" s="18">
        <f t="shared" si="2"/>
        <v>1.0172921899511249</v>
      </c>
      <c r="Y19" s="18">
        <f t="shared" si="2"/>
        <v>1.0172921899511249</v>
      </c>
      <c r="Z19" s="18">
        <f t="shared" si="2"/>
        <v>1.0172921899511249</v>
      </c>
      <c r="AA19" s="18">
        <f t="shared" si="2"/>
        <v>1.0172921899511249</v>
      </c>
      <c r="AB19" s="18">
        <f t="shared" si="2"/>
        <v>1.0172921899511249</v>
      </c>
      <c r="AC19" s="18">
        <f t="shared" si="2"/>
        <v>1.0172921899511249</v>
      </c>
      <c r="AD19" s="18">
        <f t="shared" si="2"/>
        <v>1.0172921899511249</v>
      </c>
      <c r="AE19" s="18">
        <f t="shared" si="2"/>
        <v>1.0172921899511249</v>
      </c>
      <c r="AF19" s="18">
        <f t="shared" si="2"/>
        <v>1.0172921899511249</v>
      </c>
      <c r="AG19" s="18">
        <f t="shared" si="2"/>
        <v>1.0172921899511249</v>
      </c>
      <c r="AH19" s="18">
        <f t="shared" si="2"/>
        <v>1.0172921899511249</v>
      </c>
      <c r="AI19" s="18">
        <f t="shared" si="2"/>
        <v>1.0172921899511249</v>
      </c>
      <c r="AJ19" s="18">
        <f t="shared" si="2"/>
        <v>1.0172921899511249</v>
      </c>
      <c r="AK19" s="18">
        <f t="shared" si="2"/>
        <v>1.0172921899511249</v>
      </c>
      <c r="AL19" s="18">
        <f t="shared" si="2"/>
        <v>1.0172921899511249</v>
      </c>
      <c r="AM19" s="18">
        <f t="shared" si="2"/>
        <v>1.0172921899511249</v>
      </c>
      <c r="AN19" s="18">
        <f t="shared" si="2"/>
        <v>1.0172921899511249</v>
      </c>
      <c r="AO19" s="18">
        <f t="shared" si="2"/>
        <v>1.0172921899511249</v>
      </c>
      <c r="AP19" s="18">
        <f t="shared" si="2"/>
        <v>1.0172921899511249</v>
      </c>
      <c r="AQ19" s="18">
        <f t="shared" si="2"/>
        <v>1.0172921899511249</v>
      </c>
      <c r="AR19" s="18">
        <f t="shared" si="2"/>
        <v>1.0172921899511249</v>
      </c>
      <c r="AS19" s="18">
        <f t="shared" si="2"/>
        <v>1.0172921899511249</v>
      </c>
      <c r="AT19" s="18">
        <f t="shared" si="2"/>
        <v>1.0172921899511249</v>
      </c>
      <c r="AU19" s="18">
        <f t="shared" si="2"/>
        <v>1.0172921899511249</v>
      </c>
      <c r="AV19" s="18">
        <f t="shared" si="2"/>
        <v>1.0172921899511249</v>
      </c>
      <c r="AW19" s="18">
        <f t="shared" si="2"/>
        <v>1.0172921899511249</v>
      </c>
      <c r="AX19" s="18">
        <f t="shared" si="2"/>
        <v>1.0172921899511249</v>
      </c>
      <c r="AY19" s="18">
        <f t="shared" si="2"/>
        <v>1.0172921899511249</v>
      </c>
      <c r="AZ19" s="18">
        <f t="shared" si="2"/>
        <v>1.0172921899511249</v>
      </c>
    </row>
    <row r="20" spans="1:52" hidden="1" x14ac:dyDescent="0.3">
      <c r="A20" s="17" t="s">
        <v>21</v>
      </c>
      <c r="B20" s="9"/>
      <c r="C20" s="9"/>
      <c r="D20" s="9"/>
      <c r="E20" s="9">
        <v>2000</v>
      </c>
      <c r="F20" s="9"/>
      <c r="G20" s="9"/>
      <c r="H20" s="18">
        <f>E20*B6</f>
        <v>0</v>
      </c>
      <c r="I20" s="18">
        <f t="shared" ref="I20:I23" si="3">H20</f>
        <v>0</v>
      </c>
      <c r="J20" s="18">
        <f t="shared" ref="J20:AZ20" si="4">I20</f>
        <v>0</v>
      </c>
      <c r="K20" s="18">
        <f t="shared" si="4"/>
        <v>0</v>
      </c>
      <c r="L20" s="18">
        <f t="shared" si="4"/>
        <v>0</v>
      </c>
      <c r="M20" s="18">
        <f t="shared" si="4"/>
        <v>0</v>
      </c>
      <c r="N20" s="18">
        <f t="shared" si="4"/>
        <v>0</v>
      </c>
      <c r="O20" s="18">
        <f t="shared" si="4"/>
        <v>0</v>
      </c>
      <c r="P20" s="18">
        <f t="shared" si="4"/>
        <v>0</v>
      </c>
      <c r="Q20" s="18">
        <f t="shared" si="4"/>
        <v>0</v>
      </c>
      <c r="R20" s="18">
        <f t="shared" si="4"/>
        <v>0</v>
      </c>
      <c r="S20" s="18">
        <f t="shared" si="4"/>
        <v>0</v>
      </c>
      <c r="T20" s="18">
        <f t="shared" si="4"/>
        <v>0</v>
      </c>
      <c r="U20" s="18">
        <f t="shared" si="4"/>
        <v>0</v>
      </c>
      <c r="V20" s="18">
        <f t="shared" si="4"/>
        <v>0</v>
      </c>
      <c r="W20" s="18">
        <f t="shared" si="4"/>
        <v>0</v>
      </c>
      <c r="X20" s="18">
        <f t="shared" si="4"/>
        <v>0</v>
      </c>
      <c r="Y20" s="18">
        <f t="shared" si="4"/>
        <v>0</v>
      </c>
      <c r="Z20" s="18">
        <f t="shared" si="4"/>
        <v>0</v>
      </c>
      <c r="AA20" s="18">
        <f t="shared" si="4"/>
        <v>0</v>
      </c>
      <c r="AB20" s="18">
        <f t="shared" si="4"/>
        <v>0</v>
      </c>
      <c r="AC20" s="18">
        <f t="shared" si="4"/>
        <v>0</v>
      </c>
      <c r="AD20" s="18">
        <f t="shared" si="4"/>
        <v>0</v>
      </c>
      <c r="AE20" s="18">
        <f t="shared" si="4"/>
        <v>0</v>
      </c>
      <c r="AF20" s="18">
        <f t="shared" si="4"/>
        <v>0</v>
      </c>
      <c r="AG20" s="18">
        <f t="shared" si="4"/>
        <v>0</v>
      </c>
      <c r="AH20" s="18">
        <f t="shared" si="4"/>
        <v>0</v>
      </c>
      <c r="AI20" s="18">
        <f t="shared" si="4"/>
        <v>0</v>
      </c>
      <c r="AJ20" s="18">
        <f t="shared" si="4"/>
        <v>0</v>
      </c>
      <c r="AK20" s="18">
        <f t="shared" si="4"/>
        <v>0</v>
      </c>
      <c r="AL20" s="18">
        <f t="shared" si="4"/>
        <v>0</v>
      </c>
      <c r="AM20" s="18">
        <f t="shared" si="4"/>
        <v>0</v>
      </c>
      <c r="AN20" s="18">
        <f t="shared" si="4"/>
        <v>0</v>
      </c>
      <c r="AO20" s="18">
        <f t="shared" si="4"/>
        <v>0</v>
      </c>
      <c r="AP20" s="18">
        <f t="shared" si="4"/>
        <v>0</v>
      </c>
      <c r="AQ20" s="18">
        <f t="shared" si="4"/>
        <v>0</v>
      </c>
      <c r="AR20" s="18">
        <f t="shared" si="4"/>
        <v>0</v>
      </c>
      <c r="AS20" s="18">
        <f t="shared" si="4"/>
        <v>0</v>
      </c>
      <c r="AT20" s="18">
        <f t="shared" si="4"/>
        <v>0</v>
      </c>
      <c r="AU20" s="18">
        <f t="shared" si="4"/>
        <v>0</v>
      </c>
      <c r="AV20" s="18">
        <f t="shared" si="4"/>
        <v>0</v>
      </c>
      <c r="AW20" s="18">
        <f t="shared" si="4"/>
        <v>0</v>
      </c>
      <c r="AX20" s="18">
        <f t="shared" si="4"/>
        <v>0</v>
      </c>
      <c r="AY20" s="18">
        <f t="shared" si="4"/>
        <v>0</v>
      </c>
      <c r="AZ20" s="18">
        <f t="shared" si="4"/>
        <v>0</v>
      </c>
    </row>
    <row r="21" spans="1:52" hidden="1" x14ac:dyDescent="0.3">
      <c r="A21" s="17" t="s">
        <v>22</v>
      </c>
      <c r="B21" s="9"/>
      <c r="C21" s="9"/>
      <c r="D21" s="9"/>
      <c r="E21" s="9">
        <v>8300</v>
      </c>
      <c r="F21" s="9"/>
      <c r="G21" s="9"/>
      <c r="H21" s="18">
        <f t="shared" ref="H21:H23" si="5">E21*B7</f>
        <v>0</v>
      </c>
      <c r="I21" s="18">
        <f t="shared" si="3"/>
        <v>0</v>
      </c>
      <c r="J21" s="18">
        <f t="shared" ref="J21:AZ21" si="6">I21</f>
        <v>0</v>
      </c>
      <c r="K21" s="18">
        <f t="shared" si="6"/>
        <v>0</v>
      </c>
      <c r="L21" s="18">
        <f t="shared" si="6"/>
        <v>0</v>
      </c>
      <c r="M21" s="18">
        <f t="shared" si="6"/>
        <v>0</v>
      </c>
      <c r="N21" s="18">
        <f t="shared" si="6"/>
        <v>0</v>
      </c>
      <c r="O21" s="18">
        <f t="shared" si="6"/>
        <v>0</v>
      </c>
      <c r="P21" s="18">
        <f t="shared" si="6"/>
        <v>0</v>
      </c>
      <c r="Q21" s="18">
        <f t="shared" si="6"/>
        <v>0</v>
      </c>
      <c r="R21" s="18">
        <f t="shared" si="6"/>
        <v>0</v>
      </c>
      <c r="S21" s="18">
        <f t="shared" si="6"/>
        <v>0</v>
      </c>
      <c r="T21" s="18">
        <f t="shared" si="6"/>
        <v>0</v>
      </c>
      <c r="U21" s="18">
        <f t="shared" si="6"/>
        <v>0</v>
      </c>
      <c r="V21" s="18">
        <f t="shared" si="6"/>
        <v>0</v>
      </c>
      <c r="W21" s="18">
        <f t="shared" si="6"/>
        <v>0</v>
      </c>
      <c r="X21" s="18">
        <f t="shared" si="6"/>
        <v>0</v>
      </c>
      <c r="Y21" s="18">
        <f t="shared" si="6"/>
        <v>0</v>
      </c>
      <c r="Z21" s="18">
        <f t="shared" si="6"/>
        <v>0</v>
      </c>
      <c r="AA21" s="18">
        <f t="shared" si="6"/>
        <v>0</v>
      </c>
      <c r="AB21" s="18">
        <f t="shared" si="6"/>
        <v>0</v>
      </c>
      <c r="AC21" s="18">
        <f t="shared" si="6"/>
        <v>0</v>
      </c>
      <c r="AD21" s="18">
        <f t="shared" si="6"/>
        <v>0</v>
      </c>
      <c r="AE21" s="18">
        <f t="shared" si="6"/>
        <v>0</v>
      </c>
      <c r="AF21" s="18">
        <f t="shared" si="6"/>
        <v>0</v>
      </c>
      <c r="AG21" s="18">
        <f t="shared" si="6"/>
        <v>0</v>
      </c>
      <c r="AH21" s="18">
        <f t="shared" si="6"/>
        <v>0</v>
      </c>
      <c r="AI21" s="18">
        <f t="shared" si="6"/>
        <v>0</v>
      </c>
      <c r="AJ21" s="18">
        <f t="shared" si="6"/>
        <v>0</v>
      </c>
      <c r="AK21" s="18">
        <f t="shared" si="6"/>
        <v>0</v>
      </c>
      <c r="AL21" s="18">
        <f t="shared" si="6"/>
        <v>0</v>
      </c>
      <c r="AM21" s="18">
        <f t="shared" si="6"/>
        <v>0</v>
      </c>
      <c r="AN21" s="18">
        <f t="shared" si="6"/>
        <v>0</v>
      </c>
      <c r="AO21" s="18">
        <f t="shared" si="6"/>
        <v>0</v>
      </c>
      <c r="AP21" s="18">
        <f t="shared" si="6"/>
        <v>0</v>
      </c>
      <c r="AQ21" s="18">
        <f t="shared" si="6"/>
        <v>0</v>
      </c>
      <c r="AR21" s="18">
        <f t="shared" si="6"/>
        <v>0</v>
      </c>
      <c r="AS21" s="18">
        <f t="shared" si="6"/>
        <v>0</v>
      </c>
      <c r="AT21" s="18">
        <f t="shared" si="6"/>
        <v>0</v>
      </c>
      <c r="AU21" s="18">
        <f t="shared" si="6"/>
        <v>0</v>
      </c>
      <c r="AV21" s="18">
        <f t="shared" si="6"/>
        <v>0</v>
      </c>
      <c r="AW21" s="18">
        <f t="shared" si="6"/>
        <v>0</v>
      </c>
      <c r="AX21" s="18">
        <f t="shared" si="6"/>
        <v>0</v>
      </c>
      <c r="AY21" s="18">
        <f t="shared" si="6"/>
        <v>0</v>
      </c>
      <c r="AZ21" s="18">
        <f t="shared" si="6"/>
        <v>0</v>
      </c>
    </row>
    <row r="22" spans="1:52" hidden="1" x14ac:dyDescent="0.3">
      <c r="A22" s="17" t="s">
        <v>16</v>
      </c>
      <c r="B22" s="9"/>
      <c r="C22" s="9"/>
      <c r="D22" s="9"/>
      <c r="E22" s="9">
        <v>377800</v>
      </c>
      <c r="F22" s="9"/>
      <c r="G22" s="9"/>
      <c r="H22" s="18">
        <f t="shared" si="5"/>
        <v>0</v>
      </c>
      <c r="I22" s="18">
        <f t="shared" si="3"/>
        <v>0</v>
      </c>
      <c r="J22" s="18">
        <f t="shared" ref="J22:AZ22" si="7">I22</f>
        <v>0</v>
      </c>
      <c r="K22" s="18">
        <f t="shared" si="7"/>
        <v>0</v>
      </c>
      <c r="L22" s="18">
        <f t="shared" si="7"/>
        <v>0</v>
      </c>
      <c r="M22" s="18">
        <f t="shared" si="7"/>
        <v>0</v>
      </c>
      <c r="N22" s="18">
        <f t="shared" si="7"/>
        <v>0</v>
      </c>
      <c r="O22" s="18">
        <f t="shared" si="7"/>
        <v>0</v>
      </c>
      <c r="P22" s="18">
        <f t="shared" si="7"/>
        <v>0</v>
      </c>
      <c r="Q22" s="18">
        <f t="shared" si="7"/>
        <v>0</v>
      </c>
      <c r="R22" s="18">
        <f t="shared" si="7"/>
        <v>0</v>
      </c>
      <c r="S22" s="18">
        <f t="shared" si="7"/>
        <v>0</v>
      </c>
      <c r="T22" s="18">
        <f t="shared" si="7"/>
        <v>0</v>
      </c>
      <c r="U22" s="18">
        <f t="shared" si="7"/>
        <v>0</v>
      </c>
      <c r="V22" s="18">
        <f t="shared" si="7"/>
        <v>0</v>
      </c>
      <c r="W22" s="18">
        <f t="shared" si="7"/>
        <v>0</v>
      </c>
      <c r="X22" s="18">
        <f t="shared" si="7"/>
        <v>0</v>
      </c>
      <c r="Y22" s="18">
        <f t="shared" si="7"/>
        <v>0</v>
      </c>
      <c r="Z22" s="18">
        <f t="shared" si="7"/>
        <v>0</v>
      </c>
      <c r="AA22" s="18">
        <f t="shared" si="7"/>
        <v>0</v>
      </c>
      <c r="AB22" s="18">
        <f t="shared" si="7"/>
        <v>0</v>
      </c>
      <c r="AC22" s="18">
        <f t="shared" si="7"/>
        <v>0</v>
      </c>
      <c r="AD22" s="18">
        <f t="shared" si="7"/>
        <v>0</v>
      </c>
      <c r="AE22" s="18">
        <f t="shared" si="7"/>
        <v>0</v>
      </c>
      <c r="AF22" s="18">
        <f t="shared" si="7"/>
        <v>0</v>
      </c>
      <c r="AG22" s="18">
        <f t="shared" si="7"/>
        <v>0</v>
      </c>
      <c r="AH22" s="18">
        <f t="shared" si="7"/>
        <v>0</v>
      </c>
      <c r="AI22" s="18">
        <f t="shared" si="7"/>
        <v>0</v>
      </c>
      <c r="AJ22" s="18">
        <f t="shared" si="7"/>
        <v>0</v>
      </c>
      <c r="AK22" s="18">
        <f t="shared" si="7"/>
        <v>0</v>
      </c>
      <c r="AL22" s="18">
        <f t="shared" si="7"/>
        <v>0</v>
      </c>
      <c r="AM22" s="18">
        <f t="shared" si="7"/>
        <v>0</v>
      </c>
      <c r="AN22" s="18">
        <f t="shared" si="7"/>
        <v>0</v>
      </c>
      <c r="AO22" s="18">
        <f t="shared" si="7"/>
        <v>0</v>
      </c>
      <c r="AP22" s="18">
        <f t="shared" si="7"/>
        <v>0</v>
      </c>
      <c r="AQ22" s="18">
        <f t="shared" si="7"/>
        <v>0</v>
      </c>
      <c r="AR22" s="18">
        <f t="shared" si="7"/>
        <v>0</v>
      </c>
      <c r="AS22" s="18">
        <f t="shared" si="7"/>
        <v>0</v>
      </c>
      <c r="AT22" s="18">
        <f t="shared" si="7"/>
        <v>0</v>
      </c>
      <c r="AU22" s="18">
        <f t="shared" si="7"/>
        <v>0</v>
      </c>
      <c r="AV22" s="18">
        <f t="shared" si="7"/>
        <v>0</v>
      </c>
      <c r="AW22" s="18">
        <f t="shared" si="7"/>
        <v>0</v>
      </c>
      <c r="AX22" s="18">
        <f t="shared" si="7"/>
        <v>0</v>
      </c>
      <c r="AY22" s="18">
        <f t="shared" si="7"/>
        <v>0</v>
      </c>
      <c r="AZ22" s="18">
        <f t="shared" si="7"/>
        <v>0</v>
      </c>
    </row>
    <row r="23" spans="1:52" hidden="1" x14ac:dyDescent="0.3">
      <c r="A23" s="17" t="s">
        <v>18</v>
      </c>
      <c r="B23" s="9"/>
      <c r="C23" s="9"/>
      <c r="D23" s="9"/>
      <c r="E23" s="9">
        <v>48900</v>
      </c>
      <c r="F23" s="9"/>
      <c r="G23" s="9"/>
      <c r="H23" s="18">
        <f t="shared" si="5"/>
        <v>0</v>
      </c>
      <c r="I23" s="18">
        <f t="shared" si="3"/>
        <v>0</v>
      </c>
      <c r="J23" s="18">
        <f t="shared" ref="J23:AZ23" si="8">I23</f>
        <v>0</v>
      </c>
      <c r="K23" s="18">
        <f t="shared" si="8"/>
        <v>0</v>
      </c>
      <c r="L23" s="18">
        <f t="shared" si="8"/>
        <v>0</v>
      </c>
      <c r="M23" s="18">
        <f t="shared" si="8"/>
        <v>0</v>
      </c>
      <c r="N23" s="18">
        <f t="shared" si="8"/>
        <v>0</v>
      </c>
      <c r="O23" s="18">
        <f t="shared" si="8"/>
        <v>0</v>
      </c>
      <c r="P23" s="18">
        <f t="shared" si="8"/>
        <v>0</v>
      </c>
      <c r="Q23" s="18">
        <f t="shared" si="8"/>
        <v>0</v>
      </c>
      <c r="R23" s="18">
        <f t="shared" si="8"/>
        <v>0</v>
      </c>
      <c r="S23" s="18">
        <f t="shared" si="8"/>
        <v>0</v>
      </c>
      <c r="T23" s="18">
        <f t="shared" si="8"/>
        <v>0</v>
      </c>
      <c r="U23" s="18">
        <f t="shared" si="8"/>
        <v>0</v>
      </c>
      <c r="V23" s="18">
        <f t="shared" si="8"/>
        <v>0</v>
      </c>
      <c r="W23" s="18">
        <f t="shared" si="8"/>
        <v>0</v>
      </c>
      <c r="X23" s="18">
        <f t="shared" si="8"/>
        <v>0</v>
      </c>
      <c r="Y23" s="18">
        <f t="shared" si="8"/>
        <v>0</v>
      </c>
      <c r="Z23" s="18">
        <f t="shared" si="8"/>
        <v>0</v>
      </c>
      <c r="AA23" s="18">
        <f t="shared" si="8"/>
        <v>0</v>
      </c>
      <c r="AB23" s="18">
        <f t="shared" si="8"/>
        <v>0</v>
      </c>
      <c r="AC23" s="18">
        <f t="shared" si="8"/>
        <v>0</v>
      </c>
      <c r="AD23" s="18">
        <f t="shared" si="8"/>
        <v>0</v>
      </c>
      <c r="AE23" s="18">
        <f t="shared" si="8"/>
        <v>0</v>
      </c>
      <c r="AF23" s="18">
        <f t="shared" si="8"/>
        <v>0</v>
      </c>
      <c r="AG23" s="18">
        <f t="shared" si="8"/>
        <v>0</v>
      </c>
      <c r="AH23" s="18">
        <f t="shared" si="8"/>
        <v>0</v>
      </c>
      <c r="AI23" s="18">
        <f t="shared" si="8"/>
        <v>0</v>
      </c>
      <c r="AJ23" s="18">
        <f t="shared" si="8"/>
        <v>0</v>
      </c>
      <c r="AK23" s="18">
        <f t="shared" si="8"/>
        <v>0</v>
      </c>
      <c r="AL23" s="18">
        <f t="shared" si="8"/>
        <v>0</v>
      </c>
      <c r="AM23" s="18">
        <f t="shared" si="8"/>
        <v>0</v>
      </c>
      <c r="AN23" s="18">
        <f t="shared" si="8"/>
        <v>0</v>
      </c>
      <c r="AO23" s="18">
        <f t="shared" si="8"/>
        <v>0</v>
      </c>
      <c r="AP23" s="18">
        <f t="shared" si="8"/>
        <v>0</v>
      </c>
      <c r="AQ23" s="18">
        <f t="shared" si="8"/>
        <v>0</v>
      </c>
      <c r="AR23" s="18">
        <f t="shared" si="8"/>
        <v>0</v>
      </c>
      <c r="AS23" s="18">
        <f t="shared" si="8"/>
        <v>0</v>
      </c>
      <c r="AT23" s="18">
        <f t="shared" si="8"/>
        <v>0</v>
      </c>
      <c r="AU23" s="18">
        <f t="shared" si="8"/>
        <v>0</v>
      </c>
      <c r="AV23" s="18">
        <f t="shared" si="8"/>
        <v>0</v>
      </c>
      <c r="AW23" s="18">
        <f t="shared" si="8"/>
        <v>0</v>
      </c>
      <c r="AX23" s="18">
        <f t="shared" si="8"/>
        <v>0</v>
      </c>
      <c r="AY23" s="18">
        <f t="shared" si="8"/>
        <v>0</v>
      </c>
      <c r="AZ23" s="18">
        <f t="shared" si="8"/>
        <v>0</v>
      </c>
    </row>
    <row r="24" spans="1:52" x14ac:dyDescent="0.3">
      <c r="A24" s="2"/>
      <c r="G24">
        <v>2018</v>
      </c>
      <c r="H24">
        <v>2019</v>
      </c>
      <c r="I24">
        <f>H24+1</f>
        <v>2020</v>
      </c>
      <c r="J24">
        <f t="shared" ref="J24:AZ24" si="9">I24+1</f>
        <v>2021</v>
      </c>
      <c r="K24">
        <f t="shared" si="9"/>
        <v>2022</v>
      </c>
      <c r="L24">
        <f t="shared" si="9"/>
        <v>2023</v>
      </c>
      <c r="M24">
        <f t="shared" si="9"/>
        <v>2024</v>
      </c>
      <c r="N24">
        <f t="shared" si="9"/>
        <v>2025</v>
      </c>
      <c r="O24">
        <f t="shared" si="9"/>
        <v>2026</v>
      </c>
      <c r="P24">
        <f t="shared" si="9"/>
        <v>2027</v>
      </c>
      <c r="Q24">
        <f t="shared" si="9"/>
        <v>2028</v>
      </c>
      <c r="R24">
        <f t="shared" si="9"/>
        <v>2029</v>
      </c>
      <c r="S24">
        <f t="shared" si="9"/>
        <v>2030</v>
      </c>
      <c r="T24">
        <f t="shared" si="9"/>
        <v>2031</v>
      </c>
      <c r="U24">
        <f t="shared" si="9"/>
        <v>2032</v>
      </c>
      <c r="V24">
        <f t="shared" si="9"/>
        <v>2033</v>
      </c>
      <c r="W24">
        <f t="shared" si="9"/>
        <v>2034</v>
      </c>
      <c r="X24">
        <f t="shared" si="9"/>
        <v>2035</v>
      </c>
      <c r="Y24">
        <f t="shared" si="9"/>
        <v>2036</v>
      </c>
      <c r="Z24">
        <f t="shared" si="9"/>
        <v>2037</v>
      </c>
      <c r="AA24">
        <f t="shared" si="9"/>
        <v>2038</v>
      </c>
      <c r="AB24">
        <f t="shared" si="9"/>
        <v>2039</v>
      </c>
      <c r="AC24">
        <f t="shared" si="9"/>
        <v>2040</v>
      </c>
      <c r="AD24">
        <f t="shared" si="9"/>
        <v>2041</v>
      </c>
      <c r="AE24">
        <f t="shared" si="9"/>
        <v>2042</v>
      </c>
      <c r="AF24">
        <f t="shared" si="9"/>
        <v>2043</v>
      </c>
      <c r="AG24">
        <f t="shared" si="9"/>
        <v>2044</v>
      </c>
      <c r="AH24">
        <f t="shared" si="9"/>
        <v>2045</v>
      </c>
      <c r="AI24">
        <f t="shared" si="9"/>
        <v>2046</v>
      </c>
      <c r="AJ24">
        <f t="shared" si="9"/>
        <v>2047</v>
      </c>
      <c r="AK24">
        <f t="shared" si="9"/>
        <v>2048</v>
      </c>
      <c r="AL24">
        <f t="shared" si="9"/>
        <v>2049</v>
      </c>
      <c r="AM24">
        <f t="shared" si="9"/>
        <v>2050</v>
      </c>
      <c r="AN24">
        <f t="shared" si="9"/>
        <v>2051</v>
      </c>
      <c r="AO24">
        <f t="shared" si="9"/>
        <v>2052</v>
      </c>
      <c r="AP24">
        <f t="shared" si="9"/>
        <v>2053</v>
      </c>
      <c r="AQ24">
        <f t="shared" si="9"/>
        <v>2054</v>
      </c>
      <c r="AR24">
        <f t="shared" si="9"/>
        <v>2055</v>
      </c>
      <c r="AS24">
        <f t="shared" si="9"/>
        <v>2056</v>
      </c>
      <c r="AT24">
        <f t="shared" si="9"/>
        <v>2057</v>
      </c>
      <c r="AU24">
        <f t="shared" si="9"/>
        <v>2058</v>
      </c>
      <c r="AV24">
        <f t="shared" si="9"/>
        <v>2059</v>
      </c>
      <c r="AW24">
        <f t="shared" si="9"/>
        <v>2060</v>
      </c>
      <c r="AX24">
        <f t="shared" si="9"/>
        <v>2061</v>
      </c>
      <c r="AY24">
        <f t="shared" si="9"/>
        <v>2062</v>
      </c>
      <c r="AZ24">
        <f t="shared" si="9"/>
        <v>2063</v>
      </c>
    </row>
    <row r="25" spans="1:52" x14ac:dyDescent="0.3">
      <c r="A25" s="129" t="s">
        <v>54</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row>
    <row r="26" spans="1:52" x14ac:dyDescent="0.3">
      <c r="A26" s="130" t="s">
        <v>52</v>
      </c>
      <c r="B26" s="131">
        <v>3200</v>
      </c>
      <c r="C26" s="106"/>
      <c r="D26" s="106"/>
      <c r="E26" s="106"/>
      <c r="F26" s="106"/>
      <c r="G26" s="131">
        <v>3200</v>
      </c>
      <c r="H26" s="132">
        <f>G26*$B$5</f>
        <v>3255.3350078435997</v>
      </c>
      <c r="I26" s="132">
        <f t="shared" ref="I26:AZ26" si="10">H26</f>
        <v>3255.3350078435997</v>
      </c>
      <c r="J26" s="132">
        <f t="shared" si="10"/>
        <v>3255.3350078435997</v>
      </c>
      <c r="K26" s="132">
        <f t="shared" si="10"/>
        <v>3255.3350078435997</v>
      </c>
      <c r="L26" s="132">
        <f t="shared" si="10"/>
        <v>3255.3350078435997</v>
      </c>
      <c r="M26" s="132">
        <f t="shared" si="10"/>
        <v>3255.3350078435997</v>
      </c>
      <c r="N26" s="132">
        <f t="shared" si="10"/>
        <v>3255.3350078435997</v>
      </c>
      <c r="O26" s="132">
        <f t="shared" si="10"/>
        <v>3255.3350078435997</v>
      </c>
      <c r="P26" s="132">
        <f t="shared" si="10"/>
        <v>3255.3350078435997</v>
      </c>
      <c r="Q26" s="132">
        <f t="shared" si="10"/>
        <v>3255.3350078435997</v>
      </c>
      <c r="R26" s="132">
        <f t="shared" si="10"/>
        <v>3255.3350078435997</v>
      </c>
      <c r="S26" s="132">
        <f t="shared" si="10"/>
        <v>3255.3350078435997</v>
      </c>
      <c r="T26" s="132">
        <f t="shared" si="10"/>
        <v>3255.3350078435997</v>
      </c>
      <c r="U26" s="132">
        <f t="shared" si="10"/>
        <v>3255.3350078435997</v>
      </c>
      <c r="V26" s="132">
        <f t="shared" si="10"/>
        <v>3255.3350078435997</v>
      </c>
      <c r="W26" s="132">
        <f t="shared" si="10"/>
        <v>3255.3350078435997</v>
      </c>
      <c r="X26" s="132">
        <f t="shared" si="10"/>
        <v>3255.3350078435997</v>
      </c>
      <c r="Y26" s="132">
        <f t="shared" si="10"/>
        <v>3255.3350078435997</v>
      </c>
      <c r="Z26" s="132">
        <f t="shared" si="10"/>
        <v>3255.3350078435997</v>
      </c>
      <c r="AA26" s="132">
        <f t="shared" si="10"/>
        <v>3255.3350078435997</v>
      </c>
      <c r="AB26" s="132">
        <f t="shared" si="10"/>
        <v>3255.3350078435997</v>
      </c>
      <c r="AC26" s="132">
        <f t="shared" si="10"/>
        <v>3255.3350078435997</v>
      </c>
      <c r="AD26" s="132">
        <f t="shared" si="10"/>
        <v>3255.3350078435997</v>
      </c>
      <c r="AE26" s="132">
        <f t="shared" si="10"/>
        <v>3255.3350078435997</v>
      </c>
      <c r="AF26" s="132">
        <f t="shared" si="10"/>
        <v>3255.3350078435997</v>
      </c>
      <c r="AG26" s="132">
        <f t="shared" si="10"/>
        <v>3255.3350078435997</v>
      </c>
      <c r="AH26" s="132">
        <f t="shared" si="10"/>
        <v>3255.3350078435997</v>
      </c>
      <c r="AI26" s="132">
        <f t="shared" si="10"/>
        <v>3255.3350078435997</v>
      </c>
      <c r="AJ26" s="132">
        <f t="shared" si="10"/>
        <v>3255.3350078435997</v>
      </c>
      <c r="AK26" s="132">
        <f t="shared" si="10"/>
        <v>3255.3350078435997</v>
      </c>
      <c r="AL26" s="132">
        <f t="shared" si="10"/>
        <v>3255.3350078435997</v>
      </c>
      <c r="AM26" s="132">
        <f t="shared" si="10"/>
        <v>3255.3350078435997</v>
      </c>
      <c r="AN26" s="132">
        <f t="shared" si="10"/>
        <v>3255.3350078435997</v>
      </c>
      <c r="AO26" s="132">
        <f t="shared" si="10"/>
        <v>3255.3350078435997</v>
      </c>
      <c r="AP26" s="132">
        <f t="shared" si="10"/>
        <v>3255.3350078435997</v>
      </c>
      <c r="AQ26" s="132">
        <f t="shared" si="10"/>
        <v>3255.3350078435997</v>
      </c>
      <c r="AR26" s="132">
        <f t="shared" si="10"/>
        <v>3255.3350078435997</v>
      </c>
      <c r="AS26" s="132">
        <f t="shared" si="10"/>
        <v>3255.3350078435997</v>
      </c>
      <c r="AT26" s="132">
        <f t="shared" si="10"/>
        <v>3255.3350078435997</v>
      </c>
      <c r="AU26" s="132">
        <f t="shared" si="10"/>
        <v>3255.3350078435997</v>
      </c>
      <c r="AV26" s="132">
        <f t="shared" si="10"/>
        <v>3255.3350078435997</v>
      </c>
      <c r="AW26" s="132">
        <f t="shared" si="10"/>
        <v>3255.3350078435997</v>
      </c>
      <c r="AX26" s="132">
        <f t="shared" si="10"/>
        <v>3255.3350078435997</v>
      </c>
      <c r="AY26" s="132">
        <f t="shared" si="10"/>
        <v>3255.3350078435997</v>
      </c>
      <c r="AZ26" s="132">
        <f t="shared" si="10"/>
        <v>3255.3350078435997</v>
      </c>
    </row>
    <row r="27" spans="1:52" x14ac:dyDescent="0.3">
      <c r="A27" s="68" t="s">
        <v>103</v>
      </c>
      <c r="B27" s="131">
        <v>63900</v>
      </c>
      <c r="C27" s="106"/>
      <c r="D27" s="106"/>
      <c r="E27" s="106"/>
      <c r="F27" s="106"/>
      <c r="G27" s="131">
        <v>63900</v>
      </c>
      <c r="H27" s="132">
        <f t="shared" ref="H27:H30" si="11">G27*$B$5</f>
        <v>65004.970937876882</v>
      </c>
      <c r="I27" s="132">
        <f t="shared" ref="I27:AZ27" si="12">H27</f>
        <v>65004.970937876882</v>
      </c>
      <c r="J27" s="132">
        <f t="shared" si="12"/>
        <v>65004.970937876882</v>
      </c>
      <c r="K27" s="132">
        <f t="shared" si="12"/>
        <v>65004.970937876882</v>
      </c>
      <c r="L27" s="132">
        <f t="shared" si="12"/>
        <v>65004.970937876882</v>
      </c>
      <c r="M27" s="132">
        <f t="shared" si="12"/>
        <v>65004.970937876882</v>
      </c>
      <c r="N27" s="132">
        <f t="shared" si="12"/>
        <v>65004.970937876882</v>
      </c>
      <c r="O27" s="132">
        <f t="shared" si="12"/>
        <v>65004.970937876882</v>
      </c>
      <c r="P27" s="132">
        <f t="shared" si="12"/>
        <v>65004.970937876882</v>
      </c>
      <c r="Q27" s="132">
        <f t="shared" si="12"/>
        <v>65004.970937876882</v>
      </c>
      <c r="R27" s="132">
        <f t="shared" si="12"/>
        <v>65004.970937876882</v>
      </c>
      <c r="S27" s="132">
        <f t="shared" si="12"/>
        <v>65004.970937876882</v>
      </c>
      <c r="T27" s="132">
        <f t="shared" si="12"/>
        <v>65004.970937876882</v>
      </c>
      <c r="U27" s="132">
        <f t="shared" si="12"/>
        <v>65004.970937876882</v>
      </c>
      <c r="V27" s="132">
        <f t="shared" si="12"/>
        <v>65004.970937876882</v>
      </c>
      <c r="W27" s="132">
        <f t="shared" si="12"/>
        <v>65004.970937876882</v>
      </c>
      <c r="X27" s="132">
        <f t="shared" si="12"/>
        <v>65004.970937876882</v>
      </c>
      <c r="Y27" s="132">
        <f t="shared" si="12"/>
        <v>65004.970937876882</v>
      </c>
      <c r="Z27" s="132">
        <f t="shared" si="12"/>
        <v>65004.970937876882</v>
      </c>
      <c r="AA27" s="132">
        <f t="shared" si="12"/>
        <v>65004.970937876882</v>
      </c>
      <c r="AB27" s="132">
        <f t="shared" si="12"/>
        <v>65004.970937876882</v>
      </c>
      <c r="AC27" s="132">
        <f t="shared" si="12"/>
        <v>65004.970937876882</v>
      </c>
      <c r="AD27" s="132">
        <f t="shared" si="12"/>
        <v>65004.970937876882</v>
      </c>
      <c r="AE27" s="132">
        <f t="shared" si="12"/>
        <v>65004.970937876882</v>
      </c>
      <c r="AF27" s="132">
        <f t="shared" si="12"/>
        <v>65004.970937876882</v>
      </c>
      <c r="AG27" s="132">
        <f t="shared" si="12"/>
        <v>65004.970937876882</v>
      </c>
      <c r="AH27" s="132">
        <f t="shared" si="12"/>
        <v>65004.970937876882</v>
      </c>
      <c r="AI27" s="132">
        <f t="shared" si="12"/>
        <v>65004.970937876882</v>
      </c>
      <c r="AJ27" s="132">
        <f t="shared" si="12"/>
        <v>65004.970937876882</v>
      </c>
      <c r="AK27" s="132">
        <f t="shared" si="12"/>
        <v>65004.970937876882</v>
      </c>
      <c r="AL27" s="132">
        <f t="shared" si="12"/>
        <v>65004.970937876882</v>
      </c>
      <c r="AM27" s="132">
        <f t="shared" si="12"/>
        <v>65004.970937876882</v>
      </c>
      <c r="AN27" s="132">
        <f t="shared" si="12"/>
        <v>65004.970937876882</v>
      </c>
      <c r="AO27" s="132">
        <f t="shared" si="12"/>
        <v>65004.970937876882</v>
      </c>
      <c r="AP27" s="132">
        <f t="shared" si="12"/>
        <v>65004.970937876882</v>
      </c>
      <c r="AQ27" s="132">
        <f t="shared" si="12"/>
        <v>65004.970937876882</v>
      </c>
      <c r="AR27" s="132">
        <f t="shared" si="12"/>
        <v>65004.970937876882</v>
      </c>
      <c r="AS27" s="132">
        <f t="shared" si="12"/>
        <v>65004.970937876882</v>
      </c>
      <c r="AT27" s="132">
        <f t="shared" si="12"/>
        <v>65004.970937876882</v>
      </c>
      <c r="AU27" s="132">
        <f t="shared" si="12"/>
        <v>65004.970937876882</v>
      </c>
      <c r="AV27" s="132">
        <f t="shared" si="12"/>
        <v>65004.970937876882</v>
      </c>
      <c r="AW27" s="132">
        <f t="shared" si="12"/>
        <v>65004.970937876882</v>
      </c>
      <c r="AX27" s="132">
        <f t="shared" si="12"/>
        <v>65004.970937876882</v>
      </c>
      <c r="AY27" s="132">
        <f t="shared" si="12"/>
        <v>65004.970937876882</v>
      </c>
      <c r="AZ27" s="132">
        <f t="shared" si="12"/>
        <v>65004.970937876882</v>
      </c>
    </row>
    <row r="28" spans="1:52" x14ac:dyDescent="0.3">
      <c r="A28" s="68" t="s">
        <v>104</v>
      </c>
      <c r="B28" s="131">
        <v>125000</v>
      </c>
      <c r="C28" s="106"/>
      <c r="D28" s="106"/>
      <c r="E28" s="106"/>
      <c r="F28" s="106"/>
      <c r="G28" s="131">
        <v>125000</v>
      </c>
      <c r="H28" s="132">
        <f t="shared" si="11"/>
        <v>127161.52374389062</v>
      </c>
      <c r="I28" s="132">
        <f t="shared" ref="I28:AZ28" si="13">H28</f>
        <v>127161.52374389062</v>
      </c>
      <c r="J28" s="132">
        <f t="shared" si="13"/>
        <v>127161.52374389062</v>
      </c>
      <c r="K28" s="132">
        <f t="shared" si="13"/>
        <v>127161.52374389062</v>
      </c>
      <c r="L28" s="132">
        <f t="shared" si="13"/>
        <v>127161.52374389062</v>
      </c>
      <c r="M28" s="132">
        <f t="shared" si="13"/>
        <v>127161.52374389062</v>
      </c>
      <c r="N28" s="132">
        <f t="shared" si="13"/>
        <v>127161.52374389062</v>
      </c>
      <c r="O28" s="132">
        <f t="shared" si="13"/>
        <v>127161.52374389062</v>
      </c>
      <c r="P28" s="132">
        <f t="shared" si="13"/>
        <v>127161.52374389062</v>
      </c>
      <c r="Q28" s="132">
        <f t="shared" si="13"/>
        <v>127161.52374389062</v>
      </c>
      <c r="R28" s="132">
        <f t="shared" si="13"/>
        <v>127161.52374389062</v>
      </c>
      <c r="S28" s="132">
        <f t="shared" si="13"/>
        <v>127161.52374389062</v>
      </c>
      <c r="T28" s="132">
        <f t="shared" si="13"/>
        <v>127161.52374389062</v>
      </c>
      <c r="U28" s="132">
        <f t="shared" si="13"/>
        <v>127161.52374389062</v>
      </c>
      <c r="V28" s="132">
        <f t="shared" si="13"/>
        <v>127161.52374389062</v>
      </c>
      <c r="W28" s="132">
        <f t="shared" si="13"/>
        <v>127161.52374389062</v>
      </c>
      <c r="X28" s="132">
        <f t="shared" si="13"/>
        <v>127161.52374389062</v>
      </c>
      <c r="Y28" s="132">
        <f t="shared" si="13"/>
        <v>127161.52374389062</v>
      </c>
      <c r="Z28" s="132">
        <f t="shared" si="13"/>
        <v>127161.52374389062</v>
      </c>
      <c r="AA28" s="132">
        <f t="shared" si="13"/>
        <v>127161.52374389062</v>
      </c>
      <c r="AB28" s="132">
        <f t="shared" si="13"/>
        <v>127161.52374389062</v>
      </c>
      <c r="AC28" s="132">
        <f t="shared" si="13"/>
        <v>127161.52374389062</v>
      </c>
      <c r="AD28" s="132">
        <f t="shared" si="13"/>
        <v>127161.52374389062</v>
      </c>
      <c r="AE28" s="132">
        <f t="shared" si="13"/>
        <v>127161.52374389062</v>
      </c>
      <c r="AF28" s="132">
        <f t="shared" si="13"/>
        <v>127161.52374389062</v>
      </c>
      <c r="AG28" s="132">
        <f t="shared" si="13"/>
        <v>127161.52374389062</v>
      </c>
      <c r="AH28" s="132">
        <f t="shared" si="13"/>
        <v>127161.52374389062</v>
      </c>
      <c r="AI28" s="132">
        <f t="shared" si="13"/>
        <v>127161.52374389062</v>
      </c>
      <c r="AJ28" s="132">
        <f t="shared" si="13"/>
        <v>127161.52374389062</v>
      </c>
      <c r="AK28" s="132">
        <f t="shared" si="13"/>
        <v>127161.52374389062</v>
      </c>
      <c r="AL28" s="132">
        <f t="shared" si="13"/>
        <v>127161.52374389062</v>
      </c>
      <c r="AM28" s="132">
        <f t="shared" si="13"/>
        <v>127161.52374389062</v>
      </c>
      <c r="AN28" s="132">
        <f t="shared" si="13"/>
        <v>127161.52374389062</v>
      </c>
      <c r="AO28" s="132">
        <f t="shared" si="13"/>
        <v>127161.52374389062</v>
      </c>
      <c r="AP28" s="132">
        <f t="shared" si="13"/>
        <v>127161.52374389062</v>
      </c>
      <c r="AQ28" s="132">
        <f t="shared" si="13"/>
        <v>127161.52374389062</v>
      </c>
      <c r="AR28" s="132">
        <f t="shared" si="13"/>
        <v>127161.52374389062</v>
      </c>
      <c r="AS28" s="132">
        <f t="shared" si="13"/>
        <v>127161.52374389062</v>
      </c>
      <c r="AT28" s="132">
        <f t="shared" si="13"/>
        <v>127161.52374389062</v>
      </c>
      <c r="AU28" s="132">
        <f t="shared" si="13"/>
        <v>127161.52374389062</v>
      </c>
      <c r="AV28" s="132">
        <f t="shared" si="13"/>
        <v>127161.52374389062</v>
      </c>
      <c r="AW28" s="132">
        <f t="shared" si="13"/>
        <v>127161.52374389062</v>
      </c>
      <c r="AX28" s="132">
        <f t="shared" si="13"/>
        <v>127161.52374389062</v>
      </c>
      <c r="AY28" s="132">
        <f t="shared" si="13"/>
        <v>127161.52374389062</v>
      </c>
      <c r="AZ28" s="132">
        <f t="shared" si="13"/>
        <v>127161.52374389062</v>
      </c>
    </row>
    <row r="29" spans="1:52" x14ac:dyDescent="0.3">
      <c r="A29" s="68" t="s">
        <v>105</v>
      </c>
      <c r="B29" s="131">
        <v>459100</v>
      </c>
      <c r="C29" s="106"/>
      <c r="D29" s="106"/>
      <c r="E29" s="106"/>
      <c r="F29" s="106"/>
      <c r="G29" s="131">
        <v>459100</v>
      </c>
      <c r="H29" s="132">
        <f t="shared" si="11"/>
        <v>467038.84440656146</v>
      </c>
      <c r="I29" s="132">
        <f t="shared" ref="I29:AZ29" si="14">H29</f>
        <v>467038.84440656146</v>
      </c>
      <c r="J29" s="132">
        <f t="shared" si="14"/>
        <v>467038.84440656146</v>
      </c>
      <c r="K29" s="132">
        <f t="shared" si="14"/>
        <v>467038.84440656146</v>
      </c>
      <c r="L29" s="132">
        <f t="shared" si="14"/>
        <v>467038.84440656146</v>
      </c>
      <c r="M29" s="132">
        <f t="shared" si="14"/>
        <v>467038.84440656146</v>
      </c>
      <c r="N29" s="132">
        <f t="shared" si="14"/>
        <v>467038.84440656146</v>
      </c>
      <c r="O29" s="132">
        <f t="shared" si="14"/>
        <v>467038.84440656146</v>
      </c>
      <c r="P29" s="132">
        <f t="shared" si="14"/>
        <v>467038.84440656146</v>
      </c>
      <c r="Q29" s="132">
        <f t="shared" si="14"/>
        <v>467038.84440656146</v>
      </c>
      <c r="R29" s="132">
        <f t="shared" si="14"/>
        <v>467038.84440656146</v>
      </c>
      <c r="S29" s="132">
        <f t="shared" si="14"/>
        <v>467038.84440656146</v>
      </c>
      <c r="T29" s="132">
        <f t="shared" si="14"/>
        <v>467038.84440656146</v>
      </c>
      <c r="U29" s="132">
        <f t="shared" si="14"/>
        <v>467038.84440656146</v>
      </c>
      <c r="V29" s="132">
        <f t="shared" si="14"/>
        <v>467038.84440656146</v>
      </c>
      <c r="W29" s="132">
        <f t="shared" si="14"/>
        <v>467038.84440656146</v>
      </c>
      <c r="X29" s="132">
        <f t="shared" si="14"/>
        <v>467038.84440656146</v>
      </c>
      <c r="Y29" s="132">
        <f t="shared" si="14"/>
        <v>467038.84440656146</v>
      </c>
      <c r="Z29" s="132">
        <f t="shared" si="14"/>
        <v>467038.84440656146</v>
      </c>
      <c r="AA29" s="132">
        <f t="shared" si="14"/>
        <v>467038.84440656146</v>
      </c>
      <c r="AB29" s="132">
        <f t="shared" si="14"/>
        <v>467038.84440656146</v>
      </c>
      <c r="AC29" s="132">
        <f t="shared" si="14"/>
        <v>467038.84440656146</v>
      </c>
      <c r="AD29" s="132">
        <f t="shared" si="14"/>
        <v>467038.84440656146</v>
      </c>
      <c r="AE29" s="132">
        <f t="shared" si="14"/>
        <v>467038.84440656146</v>
      </c>
      <c r="AF29" s="132">
        <f t="shared" si="14"/>
        <v>467038.84440656146</v>
      </c>
      <c r="AG29" s="132">
        <f t="shared" si="14"/>
        <v>467038.84440656146</v>
      </c>
      <c r="AH29" s="132">
        <f t="shared" si="14"/>
        <v>467038.84440656146</v>
      </c>
      <c r="AI29" s="132">
        <f t="shared" si="14"/>
        <v>467038.84440656146</v>
      </c>
      <c r="AJ29" s="132">
        <f t="shared" si="14"/>
        <v>467038.84440656146</v>
      </c>
      <c r="AK29" s="132">
        <f t="shared" si="14"/>
        <v>467038.84440656146</v>
      </c>
      <c r="AL29" s="132">
        <f t="shared" si="14"/>
        <v>467038.84440656146</v>
      </c>
      <c r="AM29" s="132">
        <f t="shared" si="14"/>
        <v>467038.84440656146</v>
      </c>
      <c r="AN29" s="132">
        <f t="shared" si="14"/>
        <v>467038.84440656146</v>
      </c>
      <c r="AO29" s="132">
        <f t="shared" si="14"/>
        <v>467038.84440656146</v>
      </c>
      <c r="AP29" s="132">
        <f t="shared" si="14"/>
        <v>467038.84440656146</v>
      </c>
      <c r="AQ29" s="132">
        <f t="shared" si="14"/>
        <v>467038.84440656146</v>
      </c>
      <c r="AR29" s="132">
        <f t="shared" si="14"/>
        <v>467038.84440656146</v>
      </c>
      <c r="AS29" s="132">
        <f t="shared" si="14"/>
        <v>467038.84440656146</v>
      </c>
      <c r="AT29" s="132">
        <f t="shared" si="14"/>
        <v>467038.84440656146</v>
      </c>
      <c r="AU29" s="132">
        <f t="shared" si="14"/>
        <v>467038.84440656146</v>
      </c>
      <c r="AV29" s="132">
        <f t="shared" si="14"/>
        <v>467038.84440656146</v>
      </c>
      <c r="AW29" s="132">
        <f t="shared" si="14"/>
        <v>467038.84440656146</v>
      </c>
      <c r="AX29" s="132">
        <f t="shared" si="14"/>
        <v>467038.84440656146</v>
      </c>
      <c r="AY29" s="132">
        <f t="shared" si="14"/>
        <v>467038.84440656146</v>
      </c>
      <c r="AZ29" s="132">
        <f t="shared" si="14"/>
        <v>467038.84440656146</v>
      </c>
    </row>
    <row r="30" spans="1:52" x14ac:dyDescent="0.3">
      <c r="A30" s="68" t="s">
        <v>53</v>
      </c>
      <c r="B30" s="131">
        <v>9600000</v>
      </c>
      <c r="C30" s="106"/>
      <c r="D30" s="106"/>
      <c r="E30" s="106"/>
      <c r="F30" s="106"/>
      <c r="G30" s="131">
        <v>9600000</v>
      </c>
      <c r="H30" s="132">
        <f t="shared" si="11"/>
        <v>9766005.0235307999</v>
      </c>
      <c r="I30" s="132">
        <f t="shared" ref="I30:AZ30" si="15">H30</f>
        <v>9766005.0235307999</v>
      </c>
      <c r="J30" s="132">
        <f t="shared" si="15"/>
        <v>9766005.0235307999</v>
      </c>
      <c r="K30" s="132">
        <f t="shared" si="15"/>
        <v>9766005.0235307999</v>
      </c>
      <c r="L30" s="132">
        <f t="shared" si="15"/>
        <v>9766005.0235307999</v>
      </c>
      <c r="M30" s="132">
        <f t="shared" si="15"/>
        <v>9766005.0235307999</v>
      </c>
      <c r="N30" s="132">
        <f t="shared" si="15"/>
        <v>9766005.0235307999</v>
      </c>
      <c r="O30" s="132">
        <f t="shared" si="15"/>
        <v>9766005.0235307999</v>
      </c>
      <c r="P30" s="132">
        <f t="shared" si="15"/>
        <v>9766005.0235307999</v>
      </c>
      <c r="Q30" s="132">
        <f t="shared" si="15"/>
        <v>9766005.0235307999</v>
      </c>
      <c r="R30" s="132">
        <f t="shared" si="15"/>
        <v>9766005.0235307999</v>
      </c>
      <c r="S30" s="132">
        <f t="shared" si="15"/>
        <v>9766005.0235307999</v>
      </c>
      <c r="T30" s="132">
        <f t="shared" si="15"/>
        <v>9766005.0235307999</v>
      </c>
      <c r="U30" s="132">
        <f t="shared" si="15"/>
        <v>9766005.0235307999</v>
      </c>
      <c r="V30" s="132">
        <f t="shared" si="15"/>
        <v>9766005.0235307999</v>
      </c>
      <c r="W30" s="132">
        <f t="shared" si="15"/>
        <v>9766005.0235307999</v>
      </c>
      <c r="X30" s="132">
        <f t="shared" si="15"/>
        <v>9766005.0235307999</v>
      </c>
      <c r="Y30" s="132">
        <f t="shared" si="15"/>
        <v>9766005.0235307999</v>
      </c>
      <c r="Z30" s="132">
        <f t="shared" si="15"/>
        <v>9766005.0235307999</v>
      </c>
      <c r="AA30" s="132">
        <f t="shared" si="15"/>
        <v>9766005.0235307999</v>
      </c>
      <c r="AB30" s="132">
        <f t="shared" si="15"/>
        <v>9766005.0235307999</v>
      </c>
      <c r="AC30" s="132">
        <f t="shared" si="15"/>
        <v>9766005.0235307999</v>
      </c>
      <c r="AD30" s="132">
        <f t="shared" si="15"/>
        <v>9766005.0235307999</v>
      </c>
      <c r="AE30" s="132">
        <f t="shared" si="15"/>
        <v>9766005.0235307999</v>
      </c>
      <c r="AF30" s="132">
        <f t="shared" si="15"/>
        <v>9766005.0235307999</v>
      </c>
      <c r="AG30" s="132">
        <f t="shared" si="15"/>
        <v>9766005.0235307999</v>
      </c>
      <c r="AH30" s="132">
        <f t="shared" si="15"/>
        <v>9766005.0235307999</v>
      </c>
      <c r="AI30" s="132">
        <f t="shared" si="15"/>
        <v>9766005.0235307999</v>
      </c>
      <c r="AJ30" s="132">
        <f t="shared" si="15"/>
        <v>9766005.0235307999</v>
      </c>
      <c r="AK30" s="132">
        <f t="shared" si="15"/>
        <v>9766005.0235307999</v>
      </c>
      <c r="AL30" s="132">
        <f t="shared" si="15"/>
        <v>9766005.0235307999</v>
      </c>
      <c r="AM30" s="132">
        <f t="shared" si="15"/>
        <v>9766005.0235307999</v>
      </c>
      <c r="AN30" s="132">
        <f t="shared" si="15"/>
        <v>9766005.0235307999</v>
      </c>
      <c r="AO30" s="132">
        <f t="shared" si="15"/>
        <v>9766005.0235307999</v>
      </c>
      <c r="AP30" s="132">
        <f t="shared" si="15"/>
        <v>9766005.0235307999</v>
      </c>
      <c r="AQ30" s="132">
        <f t="shared" si="15"/>
        <v>9766005.0235307999</v>
      </c>
      <c r="AR30" s="132">
        <f t="shared" si="15"/>
        <v>9766005.0235307999</v>
      </c>
      <c r="AS30" s="132">
        <f t="shared" si="15"/>
        <v>9766005.0235307999</v>
      </c>
      <c r="AT30" s="132">
        <f t="shared" si="15"/>
        <v>9766005.0235307999</v>
      </c>
      <c r="AU30" s="132">
        <f t="shared" si="15"/>
        <v>9766005.0235307999</v>
      </c>
      <c r="AV30" s="132">
        <f t="shared" si="15"/>
        <v>9766005.0235307999</v>
      </c>
      <c r="AW30" s="132">
        <f t="shared" si="15"/>
        <v>9766005.0235307999</v>
      </c>
      <c r="AX30" s="132">
        <f t="shared" si="15"/>
        <v>9766005.0235307999</v>
      </c>
      <c r="AY30" s="132">
        <f t="shared" si="15"/>
        <v>9766005.0235307999</v>
      </c>
      <c r="AZ30" s="132">
        <f t="shared" si="15"/>
        <v>9766005.0235307999</v>
      </c>
    </row>
    <row r="32" spans="1:52" x14ac:dyDescent="0.3">
      <c r="A32" s="94" t="s">
        <v>114</v>
      </c>
    </row>
    <row r="33" spans="1:52" x14ac:dyDescent="0.3">
      <c r="A33" s="68" t="s">
        <v>113</v>
      </c>
      <c r="G33" s="95">
        <v>16.600000000000001</v>
      </c>
      <c r="H33" s="23">
        <f>G33*$B$5</f>
        <v>16.887050353188673</v>
      </c>
      <c r="I33" s="23">
        <f>H33</f>
        <v>16.887050353188673</v>
      </c>
      <c r="J33" s="23">
        <f t="shared" ref="J33:AZ35" si="16">I33</f>
        <v>16.887050353188673</v>
      </c>
      <c r="K33" s="23">
        <f t="shared" si="16"/>
        <v>16.887050353188673</v>
      </c>
      <c r="L33" s="23">
        <f t="shared" si="16"/>
        <v>16.887050353188673</v>
      </c>
      <c r="M33" s="23">
        <f t="shared" si="16"/>
        <v>16.887050353188673</v>
      </c>
      <c r="N33" s="23">
        <f t="shared" si="16"/>
        <v>16.887050353188673</v>
      </c>
      <c r="O33" s="23">
        <f t="shared" si="16"/>
        <v>16.887050353188673</v>
      </c>
      <c r="P33" s="23">
        <f t="shared" si="16"/>
        <v>16.887050353188673</v>
      </c>
      <c r="Q33" s="23">
        <f t="shared" si="16"/>
        <v>16.887050353188673</v>
      </c>
      <c r="R33" s="23">
        <f t="shared" si="16"/>
        <v>16.887050353188673</v>
      </c>
      <c r="S33" s="23">
        <f t="shared" si="16"/>
        <v>16.887050353188673</v>
      </c>
      <c r="T33" s="23">
        <f t="shared" si="16"/>
        <v>16.887050353188673</v>
      </c>
      <c r="U33" s="23">
        <f t="shared" si="16"/>
        <v>16.887050353188673</v>
      </c>
      <c r="V33" s="23">
        <f t="shared" si="16"/>
        <v>16.887050353188673</v>
      </c>
      <c r="W33" s="23">
        <f t="shared" si="16"/>
        <v>16.887050353188673</v>
      </c>
      <c r="X33" s="23">
        <f t="shared" si="16"/>
        <v>16.887050353188673</v>
      </c>
      <c r="Y33" s="23">
        <f t="shared" si="16"/>
        <v>16.887050353188673</v>
      </c>
      <c r="Z33" s="23">
        <f t="shared" si="16"/>
        <v>16.887050353188673</v>
      </c>
      <c r="AA33" s="23">
        <f t="shared" si="16"/>
        <v>16.887050353188673</v>
      </c>
      <c r="AB33" s="23">
        <f t="shared" si="16"/>
        <v>16.887050353188673</v>
      </c>
      <c r="AC33" s="23">
        <f t="shared" si="16"/>
        <v>16.887050353188673</v>
      </c>
      <c r="AD33" s="23">
        <f t="shared" si="16"/>
        <v>16.887050353188673</v>
      </c>
      <c r="AE33" s="23">
        <f t="shared" si="16"/>
        <v>16.887050353188673</v>
      </c>
      <c r="AF33" s="23">
        <f t="shared" si="16"/>
        <v>16.887050353188673</v>
      </c>
      <c r="AG33" s="23">
        <f t="shared" si="16"/>
        <v>16.887050353188673</v>
      </c>
      <c r="AH33" s="23">
        <f t="shared" si="16"/>
        <v>16.887050353188673</v>
      </c>
      <c r="AI33" s="23">
        <f t="shared" si="16"/>
        <v>16.887050353188673</v>
      </c>
      <c r="AJ33" s="23">
        <f t="shared" si="16"/>
        <v>16.887050353188673</v>
      </c>
      <c r="AK33" s="23">
        <f t="shared" si="16"/>
        <v>16.887050353188673</v>
      </c>
      <c r="AL33" s="23">
        <f t="shared" si="16"/>
        <v>16.887050353188673</v>
      </c>
      <c r="AM33" s="23">
        <f t="shared" si="16"/>
        <v>16.887050353188673</v>
      </c>
      <c r="AN33" s="23">
        <f t="shared" si="16"/>
        <v>16.887050353188673</v>
      </c>
      <c r="AO33" s="23">
        <f t="shared" si="16"/>
        <v>16.887050353188673</v>
      </c>
      <c r="AP33" s="23">
        <f t="shared" si="16"/>
        <v>16.887050353188673</v>
      </c>
      <c r="AQ33" s="23">
        <f t="shared" si="16"/>
        <v>16.887050353188673</v>
      </c>
      <c r="AR33" s="23">
        <f t="shared" si="16"/>
        <v>16.887050353188673</v>
      </c>
      <c r="AS33" s="23">
        <f t="shared" si="16"/>
        <v>16.887050353188673</v>
      </c>
      <c r="AT33" s="23">
        <f t="shared" si="16"/>
        <v>16.887050353188673</v>
      </c>
      <c r="AU33" s="23">
        <f t="shared" si="16"/>
        <v>16.887050353188673</v>
      </c>
      <c r="AV33" s="23">
        <f t="shared" si="16"/>
        <v>16.887050353188673</v>
      </c>
      <c r="AW33" s="23">
        <f t="shared" si="16"/>
        <v>16.887050353188673</v>
      </c>
      <c r="AX33" s="23">
        <f t="shared" si="16"/>
        <v>16.887050353188673</v>
      </c>
      <c r="AY33" s="23">
        <f t="shared" si="16"/>
        <v>16.887050353188673</v>
      </c>
      <c r="AZ33" s="23">
        <f t="shared" si="16"/>
        <v>16.887050353188673</v>
      </c>
    </row>
    <row r="34" spans="1:52" x14ac:dyDescent="0.3">
      <c r="A34" s="68" t="s">
        <v>112</v>
      </c>
      <c r="G34" s="20">
        <v>29.5</v>
      </c>
      <c r="H34" s="23">
        <f t="shared" ref="H34:H35" si="17">G34*$B$5</f>
        <v>30.010119603558184</v>
      </c>
      <c r="I34" s="23">
        <f t="shared" ref="I34:X35" si="18">H34</f>
        <v>30.010119603558184</v>
      </c>
      <c r="J34" s="23">
        <f t="shared" si="18"/>
        <v>30.010119603558184</v>
      </c>
      <c r="K34" s="23">
        <f t="shared" si="18"/>
        <v>30.010119603558184</v>
      </c>
      <c r="L34" s="23">
        <f t="shared" si="18"/>
        <v>30.010119603558184</v>
      </c>
      <c r="M34" s="23">
        <f t="shared" si="18"/>
        <v>30.010119603558184</v>
      </c>
      <c r="N34" s="23">
        <f t="shared" si="18"/>
        <v>30.010119603558184</v>
      </c>
      <c r="O34" s="23">
        <f t="shared" si="18"/>
        <v>30.010119603558184</v>
      </c>
      <c r="P34" s="23">
        <f t="shared" si="18"/>
        <v>30.010119603558184</v>
      </c>
      <c r="Q34" s="23">
        <f t="shared" si="18"/>
        <v>30.010119603558184</v>
      </c>
      <c r="R34" s="23">
        <f t="shared" si="18"/>
        <v>30.010119603558184</v>
      </c>
      <c r="S34" s="23">
        <f t="shared" si="18"/>
        <v>30.010119603558184</v>
      </c>
      <c r="T34" s="23">
        <f t="shared" si="18"/>
        <v>30.010119603558184</v>
      </c>
      <c r="U34" s="23">
        <f t="shared" si="18"/>
        <v>30.010119603558184</v>
      </c>
      <c r="V34" s="23">
        <f t="shared" si="18"/>
        <v>30.010119603558184</v>
      </c>
      <c r="W34" s="23">
        <f t="shared" si="18"/>
        <v>30.010119603558184</v>
      </c>
      <c r="X34" s="23">
        <f t="shared" si="18"/>
        <v>30.010119603558184</v>
      </c>
      <c r="Y34" s="23">
        <f t="shared" si="16"/>
        <v>30.010119603558184</v>
      </c>
      <c r="Z34" s="23">
        <f t="shared" si="16"/>
        <v>30.010119603558184</v>
      </c>
      <c r="AA34" s="23">
        <f t="shared" si="16"/>
        <v>30.010119603558184</v>
      </c>
      <c r="AB34" s="23">
        <f t="shared" si="16"/>
        <v>30.010119603558184</v>
      </c>
      <c r="AC34" s="23">
        <f t="shared" si="16"/>
        <v>30.010119603558184</v>
      </c>
      <c r="AD34" s="23">
        <f t="shared" si="16"/>
        <v>30.010119603558184</v>
      </c>
      <c r="AE34" s="23">
        <f t="shared" si="16"/>
        <v>30.010119603558184</v>
      </c>
      <c r="AF34" s="23">
        <f t="shared" si="16"/>
        <v>30.010119603558184</v>
      </c>
      <c r="AG34" s="23">
        <f t="shared" si="16"/>
        <v>30.010119603558184</v>
      </c>
      <c r="AH34" s="23">
        <f t="shared" si="16"/>
        <v>30.010119603558184</v>
      </c>
      <c r="AI34" s="23">
        <f t="shared" si="16"/>
        <v>30.010119603558184</v>
      </c>
      <c r="AJ34" s="23">
        <f t="shared" si="16"/>
        <v>30.010119603558184</v>
      </c>
      <c r="AK34" s="23">
        <f t="shared" si="16"/>
        <v>30.010119603558184</v>
      </c>
      <c r="AL34" s="23">
        <f t="shared" si="16"/>
        <v>30.010119603558184</v>
      </c>
      <c r="AM34" s="23">
        <f t="shared" si="16"/>
        <v>30.010119603558184</v>
      </c>
      <c r="AN34" s="23">
        <f t="shared" si="16"/>
        <v>30.010119603558184</v>
      </c>
      <c r="AO34" s="23">
        <f t="shared" si="16"/>
        <v>30.010119603558184</v>
      </c>
      <c r="AP34" s="23">
        <f t="shared" si="16"/>
        <v>30.010119603558184</v>
      </c>
      <c r="AQ34" s="23">
        <f t="shared" si="16"/>
        <v>30.010119603558184</v>
      </c>
      <c r="AR34" s="23">
        <f t="shared" si="16"/>
        <v>30.010119603558184</v>
      </c>
      <c r="AS34" s="23">
        <f t="shared" si="16"/>
        <v>30.010119603558184</v>
      </c>
      <c r="AT34" s="23">
        <f t="shared" si="16"/>
        <v>30.010119603558184</v>
      </c>
      <c r="AU34" s="23">
        <f t="shared" si="16"/>
        <v>30.010119603558184</v>
      </c>
      <c r="AV34" s="23">
        <f t="shared" si="16"/>
        <v>30.010119603558184</v>
      </c>
      <c r="AW34" s="23">
        <f t="shared" si="16"/>
        <v>30.010119603558184</v>
      </c>
      <c r="AX34" s="23">
        <f t="shared" si="16"/>
        <v>30.010119603558184</v>
      </c>
      <c r="AY34" s="23">
        <f t="shared" si="16"/>
        <v>30.010119603558184</v>
      </c>
      <c r="AZ34" s="23">
        <f t="shared" si="16"/>
        <v>30.010119603558184</v>
      </c>
    </row>
    <row r="35" spans="1:52" x14ac:dyDescent="0.3">
      <c r="A35" s="68" t="s">
        <v>136</v>
      </c>
      <c r="G35">
        <v>1.48</v>
      </c>
      <c r="H35" s="23">
        <f t="shared" si="17"/>
        <v>1.5055924411276649</v>
      </c>
      <c r="I35" s="23">
        <f t="shared" si="18"/>
        <v>1.5055924411276649</v>
      </c>
      <c r="J35" s="23">
        <f t="shared" si="16"/>
        <v>1.5055924411276649</v>
      </c>
      <c r="K35" s="23">
        <f t="shared" si="16"/>
        <v>1.5055924411276649</v>
      </c>
      <c r="L35" s="23">
        <f t="shared" si="16"/>
        <v>1.5055924411276649</v>
      </c>
      <c r="M35" s="23">
        <f t="shared" si="16"/>
        <v>1.5055924411276649</v>
      </c>
      <c r="N35" s="23">
        <f t="shared" si="16"/>
        <v>1.5055924411276649</v>
      </c>
      <c r="O35" s="23">
        <f t="shared" si="16"/>
        <v>1.5055924411276649</v>
      </c>
      <c r="P35" s="23">
        <f t="shared" si="16"/>
        <v>1.5055924411276649</v>
      </c>
      <c r="Q35" s="23">
        <f t="shared" si="16"/>
        <v>1.5055924411276649</v>
      </c>
      <c r="R35" s="23">
        <f t="shared" si="16"/>
        <v>1.5055924411276649</v>
      </c>
      <c r="S35" s="23">
        <f t="shared" si="16"/>
        <v>1.5055924411276649</v>
      </c>
      <c r="T35" s="23">
        <f t="shared" si="16"/>
        <v>1.5055924411276649</v>
      </c>
      <c r="U35" s="23">
        <f t="shared" si="16"/>
        <v>1.5055924411276649</v>
      </c>
      <c r="V35" s="23">
        <f t="shared" si="16"/>
        <v>1.5055924411276649</v>
      </c>
      <c r="W35" s="23">
        <f t="shared" si="16"/>
        <v>1.5055924411276649</v>
      </c>
      <c r="X35" s="23">
        <f t="shared" si="16"/>
        <v>1.5055924411276649</v>
      </c>
      <c r="Y35" s="23">
        <f t="shared" si="16"/>
        <v>1.5055924411276649</v>
      </c>
      <c r="Z35" s="23">
        <f t="shared" si="16"/>
        <v>1.5055924411276649</v>
      </c>
      <c r="AA35" s="23">
        <f t="shared" si="16"/>
        <v>1.5055924411276649</v>
      </c>
      <c r="AB35" s="23">
        <f t="shared" si="16"/>
        <v>1.5055924411276649</v>
      </c>
      <c r="AC35" s="23">
        <f t="shared" si="16"/>
        <v>1.5055924411276649</v>
      </c>
      <c r="AD35" s="23">
        <f t="shared" si="16"/>
        <v>1.5055924411276649</v>
      </c>
      <c r="AE35" s="23">
        <f t="shared" si="16"/>
        <v>1.5055924411276649</v>
      </c>
      <c r="AF35" s="23">
        <f t="shared" si="16"/>
        <v>1.5055924411276649</v>
      </c>
      <c r="AG35" s="23">
        <f t="shared" si="16"/>
        <v>1.5055924411276649</v>
      </c>
      <c r="AH35" s="23">
        <f t="shared" si="16"/>
        <v>1.5055924411276649</v>
      </c>
      <c r="AI35" s="23">
        <f t="shared" si="16"/>
        <v>1.5055924411276649</v>
      </c>
      <c r="AJ35" s="23">
        <f t="shared" si="16"/>
        <v>1.5055924411276649</v>
      </c>
      <c r="AK35" s="23">
        <f t="shared" si="16"/>
        <v>1.5055924411276649</v>
      </c>
      <c r="AL35" s="23">
        <f t="shared" si="16"/>
        <v>1.5055924411276649</v>
      </c>
      <c r="AM35" s="23">
        <f t="shared" si="16"/>
        <v>1.5055924411276649</v>
      </c>
      <c r="AN35" s="23">
        <f t="shared" si="16"/>
        <v>1.5055924411276649</v>
      </c>
      <c r="AO35" s="23">
        <f t="shared" si="16"/>
        <v>1.5055924411276649</v>
      </c>
      <c r="AP35" s="23">
        <f t="shared" si="16"/>
        <v>1.5055924411276649</v>
      </c>
      <c r="AQ35" s="23">
        <f t="shared" si="16"/>
        <v>1.5055924411276649</v>
      </c>
      <c r="AR35" s="23">
        <f t="shared" si="16"/>
        <v>1.5055924411276649</v>
      </c>
      <c r="AS35" s="23">
        <f t="shared" si="16"/>
        <v>1.5055924411276649</v>
      </c>
      <c r="AT35" s="23">
        <f t="shared" si="16"/>
        <v>1.5055924411276649</v>
      </c>
      <c r="AU35" s="23">
        <f t="shared" si="16"/>
        <v>1.5055924411276649</v>
      </c>
      <c r="AV35" s="23">
        <f t="shared" si="16"/>
        <v>1.5055924411276649</v>
      </c>
      <c r="AW35" s="23">
        <f t="shared" si="16"/>
        <v>1.5055924411276649</v>
      </c>
      <c r="AX35" s="23">
        <f t="shared" si="16"/>
        <v>1.5055924411276649</v>
      </c>
      <c r="AY35" s="23">
        <f t="shared" si="16"/>
        <v>1.5055924411276649</v>
      </c>
      <c r="AZ35" s="23">
        <f t="shared" si="16"/>
        <v>1.5055924411276649</v>
      </c>
    </row>
    <row r="36" spans="1:52" x14ac:dyDescent="0.3">
      <c r="A36" s="68"/>
    </row>
    <row r="37" spans="1:52" x14ac:dyDescent="0.3">
      <c r="A37" s="1" t="s">
        <v>116</v>
      </c>
      <c r="G37" s="96">
        <v>0.75</v>
      </c>
    </row>
    <row r="48" spans="1:52" x14ac:dyDescent="0.3">
      <c r="A48" s="127" t="s">
        <v>135</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266B-1BA2-4437-BCEA-3DFCB3981D8D}">
  <sheetPr>
    <tabColor rgb="FFFFC000"/>
  </sheetPr>
  <dimension ref="A2:Q56"/>
  <sheetViews>
    <sheetView topLeftCell="A28" workbookViewId="0">
      <selection activeCell="D45" sqref="D45"/>
    </sheetView>
  </sheetViews>
  <sheetFormatPr defaultRowHeight="14.4" x14ac:dyDescent="0.3"/>
  <cols>
    <col min="1" max="1" width="25.77734375" customWidth="1"/>
    <col min="2" max="17" width="11.77734375" customWidth="1"/>
  </cols>
  <sheetData>
    <row r="2" spans="1:17" ht="18" x14ac:dyDescent="0.35">
      <c r="A2" s="19" t="s">
        <v>98</v>
      </c>
    </row>
    <row r="7" spans="1:17" ht="15.6" x14ac:dyDescent="0.3">
      <c r="A7" s="74" t="s">
        <v>62</v>
      </c>
    </row>
    <row r="8" spans="1:17" x14ac:dyDescent="0.3">
      <c r="A8" s="9"/>
      <c r="B8" s="126" t="s">
        <v>63</v>
      </c>
      <c r="C8" s="126"/>
      <c r="D8" s="126"/>
      <c r="E8" s="126"/>
      <c r="F8" s="126" t="s">
        <v>64</v>
      </c>
      <c r="G8" s="126"/>
      <c r="H8" s="126"/>
      <c r="I8" s="126"/>
      <c r="J8" s="126" t="s">
        <v>65</v>
      </c>
      <c r="K8" s="126"/>
      <c r="L8" s="126"/>
      <c r="M8" s="126"/>
      <c r="N8" s="126" t="s">
        <v>63</v>
      </c>
      <c r="O8" s="126"/>
      <c r="P8" s="126"/>
      <c r="Q8" s="126"/>
    </row>
    <row r="9" spans="1:17" x14ac:dyDescent="0.3">
      <c r="A9" s="9"/>
      <c r="B9" s="75" t="s">
        <v>66</v>
      </c>
      <c r="C9" s="75" t="s">
        <v>67</v>
      </c>
      <c r="D9" s="75" t="s">
        <v>68</v>
      </c>
      <c r="E9" s="75" t="s">
        <v>69</v>
      </c>
      <c r="F9" s="75" t="s">
        <v>70</v>
      </c>
      <c r="G9" s="75" t="s">
        <v>71</v>
      </c>
      <c r="H9" s="75" t="s">
        <v>72</v>
      </c>
      <c r="I9" s="75" t="s">
        <v>73</v>
      </c>
      <c r="J9" s="75" t="s">
        <v>74</v>
      </c>
      <c r="K9" s="75" t="s">
        <v>75</v>
      </c>
      <c r="L9" s="75" t="s">
        <v>76</v>
      </c>
      <c r="M9" s="75" t="s">
        <v>77</v>
      </c>
      <c r="N9" s="75" t="s">
        <v>78</v>
      </c>
      <c r="O9" s="75" t="s">
        <v>79</v>
      </c>
      <c r="P9" s="75" t="s">
        <v>80</v>
      </c>
      <c r="Q9" s="75" t="s">
        <v>81</v>
      </c>
    </row>
    <row r="10" spans="1:17" x14ac:dyDescent="0.3">
      <c r="A10" s="76"/>
      <c r="B10" s="76"/>
      <c r="C10" s="76"/>
      <c r="D10" s="76"/>
      <c r="E10" s="76"/>
      <c r="F10" s="76"/>
      <c r="G10" s="76"/>
      <c r="H10" s="76"/>
      <c r="I10" s="76"/>
      <c r="J10" s="76"/>
      <c r="K10" s="76"/>
      <c r="L10" s="76"/>
      <c r="M10" s="76"/>
      <c r="N10" s="76"/>
      <c r="O10" s="76"/>
      <c r="P10" s="76"/>
      <c r="Q10" s="76"/>
    </row>
    <row r="11" spans="1:17" ht="43.2" x14ac:dyDescent="0.3">
      <c r="A11" s="77" t="s">
        <v>82</v>
      </c>
      <c r="B11" s="78">
        <v>35.401629249999999</v>
      </c>
      <c r="C11" s="78">
        <v>34.982441249999994</v>
      </c>
      <c r="D11" s="78">
        <v>41.045557000000002</v>
      </c>
      <c r="E11" s="78">
        <v>40.009890999999996</v>
      </c>
      <c r="F11" s="78">
        <v>45.911962250000002</v>
      </c>
      <c r="G11" s="78">
        <v>45.914417999999998</v>
      </c>
      <c r="H11" s="78">
        <v>43.710975749999996</v>
      </c>
      <c r="I11" s="78">
        <v>47.339611250000004</v>
      </c>
      <c r="J11" s="78">
        <v>58407.298848999999</v>
      </c>
      <c r="K11" s="78">
        <v>53332.373385999999</v>
      </c>
      <c r="L11" s="78">
        <v>1920.001941</v>
      </c>
      <c r="M11" s="78">
        <v>3154.9235209999997</v>
      </c>
      <c r="N11" s="78">
        <v>937508.10072900006</v>
      </c>
      <c r="O11" s="78">
        <v>854992.06488399999</v>
      </c>
      <c r="P11" s="78">
        <v>35081.607332</v>
      </c>
      <c r="Q11" s="78">
        <v>47434.428512999999</v>
      </c>
    </row>
    <row r="12" spans="1:17" x14ac:dyDescent="0.3">
      <c r="A12" s="76"/>
      <c r="B12" s="79"/>
      <c r="C12" s="79"/>
      <c r="D12" s="79"/>
      <c r="E12" s="79"/>
      <c r="F12" s="79"/>
      <c r="G12" s="79"/>
      <c r="H12" s="79"/>
      <c r="I12" s="79"/>
      <c r="J12" s="79"/>
      <c r="K12" s="79"/>
      <c r="L12" s="79"/>
      <c r="M12" s="79"/>
      <c r="N12" s="79"/>
      <c r="O12" s="79"/>
      <c r="P12" s="79"/>
      <c r="Q12" s="79"/>
    </row>
    <row r="13" spans="1:17" ht="43.2" x14ac:dyDescent="0.3">
      <c r="A13" s="80" t="s">
        <v>83</v>
      </c>
      <c r="B13" s="78">
        <v>109.2442965</v>
      </c>
      <c r="C13" s="78">
        <v>107.54292125000001</v>
      </c>
      <c r="D13" s="78">
        <v>112.69068175</v>
      </c>
      <c r="E13" s="78">
        <v>141.04430200000002</v>
      </c>
      <c r="F13" s="78">
        <v>30.88979075</v>
      </c>
      <c r="G13" s="78">
        <v>30.975556000000001</v>
      </c>
      <c r="H13" s="78">
        <v>30.061239</v>
      </c>
      <c r="I13" s="78">
        <v>30.072189999999999</v>
      </c>
      <c r="J13" s="78">
        <v>72058.869160999995</v>
      </c>
      <c r="K13" s="78">
        <v>65652.929357000001</v>
      </c>
      <c r="L13" s="78">
        <v>2428.5401870000001</v>
      </c>
      <c r="M13" s="78">
        <v>3977.3996160000002</v>
      </c>
      <c r="N13" s="78">
        <v>4048058.068895</v>
      </c>
      <c r="O13" s="78">
        <v>3672981.496113</v>
      </c>
      <c r="P13" s="78">
        <v>136664.322591</v>
      </c>
      <c r="Q13" s="78">
        <v>238412.25014299998</v>
      </c>
    </row>
    <row r="14" spans="1:17" x14ac:dyDescent="0.3">
      <c r="A14" s="81"/>
      <c r="B14" s="79"/>
      <c r="C14" s="79"/>
      <c r="D14" s="79"/>
      <c r="E14" s="79"/>
      <c r="F14" s="79"/>
      <c r="G14" s="79"/>
      <c r="H14" s="79"/>
      <c r="I14" s="79"/>
      <c r="J14" s="79"/>
      <c r="K14" s="79"/>
      <c r="L14" s="79"/>
      <c r="M14" s="79"/>
      <c r="N14" s="79"/>
      <c r="O14" s="79"/>
      <c r="P14" s="79"/>
      <c r="Q14" s="79"/>
    </row>
    <row r="15" spans="1:17" ht="28.8" x14ac:dyDescent="0.3">
      <c r="A15" s="80" t="s">
        <v>84</v>
      </c>
      <c r="B15" s="78">
        <v>63.787461</v>
      </c>
      <c r="C15" s="78">
        <v>64.490369250000001</v>
      </c>
      <c r="D15" s="78">
        <v>60.348194249999999</v>
      </c>
      <c r="E15" s="78">
        <v>51.541332000000004</v>
      </c>
      <c r="F15" s="78">
        <v>38.421252250000002</v>
      </c>
      <c r="G15" s="78">
        <v>38.160959000000005</v>
      </c>
      <c r="H15" s="78">
        <v>38.645650250000003</v>
      </c>
      <c r="I15" s="78">
        <v>43.34593125</v>
      </c>
      <c r="J15" s="78">
        <v>81729.343403999999</v>
      </c>
      <c r="K15" s="78">
        <v>74534.715976000007</v>
      </c>
      <c r="L15" s="78">
        <v>2716.883542</v>
      </c>
      <c r="M15" s="78">
        <v>4477.7438870000005</v>
      </c>
      <c r="N15" s="78">
        <v>2458430.4896050002</v>
      </c>
      <c r="O15" s="78">
        <v>2295219.8003369998</v>
      </c>
      <c r="P15" s="78">
        <v>75520.532359000004</v>
      </c>
      <c r="Q15" s="78">
        <v>87690.156915</v>
      </c>
    </row>
    <row r="16" spans="1:17" x14ac:dyDescent="0.3">
      <c r="A16" s="81"/>
      <c r="B16" s="79"/>
      <c r="C16" s="79"/>
      <c r="D16" s="79"/>
      <c r="E16" s="79"/>
      <c r="F16" s="79"/>
      <c r="G16" s="79"/>
      <c r="H16" s="79"/>
      <c r="I16" s="79"/>
      <c r="J16" s="79"/>
      <c r="K16" s="79"/>
      <c r="L16" s="79"/>
      <c r="M16" s="79"/>
      <c r="N16" s="79"/>
      <c r="O16" s="79"/>
      <c r="P16" s="79"/>
      <c r="Q16" s="79"/>
    </row>
    <row r="17" spans="1:17" ht="75" customHeight="1" x14ac:dyDescent="0.3">
      <c r="A17" s="80" t="s">
        <v>85</v>
      </c>
      <c r="B17" s="78">
        <v>21.466208250000001</v>
      </c>
      <c r="C17" s="78">
        <v>21.111299500000001</v>
      </c>
      <c r="D17" s="78">
        <v>25.10542775</v>
      </c>
      <c r="E17" s="78">
        <v>26.14995</v>
      </c>
      <c r="F17" s="78">
        <v>48.565654500000001</v>
      </c>
      <c r="G17" s="78">
        <v>48.605880499999998</v>
      </c>
      <c r="H17" s="78">
        <v>46.625354999999999</v>
      </c>
      <c r="I17" s="78">
        <v>49.120074249999995</v>
      </c>
      <c r="J17" s="78">
        <v>84790.378981000002</v>
      </c>
      <c r="K17" s="78">
        <v>77410.751269999993</v>
      </c>
      <c r="L17" s="78">
        <v>2803.7499159999998</v>
      </c>
      <c r="M17" s="78">
        <v>4575.8777959999998</v>
      </c>
      <c r="N17" s="78">
        <v>801893.83626400004</v>
      </c>
      <c r="O17" s="78">
        <v>727557.95273700007</v>
      </c>
      <c r="P17" s="78">
        <v>30576.160425000002</v>
      </c>
      <c r="Q17" s="78">
        <v>43759.723101000003</v>
      </c>
    </row>
    <row r="20" spans="1:17" ht="15.6" x14ac:dyDescent="0.3">
      <c r="A20" s="74" t="s">
        <v>86</v>
      </c>
      <c r="N20" s="4"/>
    </row>
    <row r="21" spans="1:17" x14ac:dyDescent="0.3">
      <c r="A21" s="9"/>
      <c r="B21" s="126" t="s">
        <v>63</v>
      </c>
      <c r="C21" s="126"/>
      <c r="D21" s="126"/>
      <c r="E21" s="126"/>
      <c r="F21" s="126" t="s">
        <v>64</v>
      </c>
      <c r="G21" s="126"/>
      <c r="H21" s="126"/>
      <c r="I21" s="126"/>
      <c r="J21" s="126" t="s">
        <v>65</v>
      </c>
      <c r="K21" s="126"/>
      <c r="L21" s="126"/>
      <c r="M21" s="126"/>
      <c r="N21" s="126" t="s">
        <v>63</v>
      </c>
      <c r="O21" s="126"/>
      <c r="P21" s="126"/>
      <c r="Q21" s="126"/>
    </row>
    <row r="22" spans="1:17" x14ac:dyDescent="0.3">
      <c r="A22" s="9"/>
      <c r="B22" s="75" t="s">
        <v>66</v>
      </c>
      <c r="C22" s="75" t="s">
        <v>67</v>
      </c>
      <c r="D22" s="75" t="s">
        <v>68</v>
      </c>
      <c r="E22" s="75" t="s">
        <v>69</v>
      </c>
      <c r="F22" s="75" t="s">
        <v>70</v>
      </c>
      <c r="G22" s="75" t="s">
        <v>71</v>
      </c>
      <c r="H22" s="75" t="s">
        <v>72</v>
      </c>
      <c r="I22" s="75" t="s">
        <v>73</v>
      </c>
      <c r="J22" s="75" t="s">
        <v>74</v>
      </c>
      <c r="K22" s="75" t="s">
        <v>75</v>
      </c>
      <c r="L22" s="75" t="s">
        <v>76</v>
      </c>
      <c r="M22" s="75" t="s">
        <v>77</v>
      </c>
      <c r="N22" s="75" t="s">
        <v>78</v>
      </c>
      <c r="O22" s="75" t="s">
        <v>79</v>
      </c>
      <c r="P22" s="75" t="s">
        <v>80</v>
      </c>
      <c r="Q22" s="75" t="s">
        <v>81</v>
      </c>
    </row>
    <row r="23" spans="1:17" x14ac:dyDescent="0.3">
      <c r="B23" s="76"/>
      <c r="C23" s="76"/>
      <c r="D23" s="76"/>
      <c r="E23" s="76"/>
      <c r="F23" s="76"/>
      <c r="G23" s="76"/>
      <c r="H23" s="76"/>
      <c r="I23" s="76"/>
      <c r="J23" s="76"/>
      <c r="K23" s="76"/>
      <c r="L23" s="76"/>
      <c r="M23" s="76"/>
      <c r="N23" s="76"/>
      <c r="O23" s="76"/>
      <c r="P23" s="76"/>
      <c r="Q23" s="76"/>
    </row>
    <row r="24" spans="1:17" ht="43.2" x14ac:dyDescent="0.3">
      <c r="A24" s="77" t="s">
        <v>87</v>
      </c>
      <c r="B24" s="78">
        <v>49.672990749999997</v>
      </c>
      <c r="C24" s="78">
        <v>49.179228249999994</v>
      </c>
      <c r="D24" s="78">
        <v>53.888319750000001</v>
      </c>
      <c r="E24" s="78">
        <v>56.446320249999999</v>
      </c>
      <c r="F24" s="78">
        <v>42.027633750000007</v>
      </c>
      <c r="G24" s="78">
        <v>41.984203249999993</v>
      </c>
      <c r="H24" s="78">
        <v>40.651116500000001</v>
      </c>
      <c r="I24" s="78">
        <v>43.677148000000003</v>
      </c>
      <c r="J24" s="78">
        <v>63737.895215999997</v>
      </c>
      <c r="K24" s="78">
        <v>57963.389703000001</v>
      </c>
      <c r="L24" s="78">
        <v>2141.9329449999996</v>
      </c>
      <c r="M24" s="78">
        <v>3632.5725689999999</v>
      </c>
      <c r="N24" s="78">
        <v>1487821.305747</v>
      </c>
      <c r="O24" s="78">
        <v>1356992.9231500002</v>
      </c>
      <c r="P24" s="78">
        <v>52772.676747999998</v>
      </c>
      <c r="Q24" s="78">
        <v>78055.705856</v>
      </c>
    </row>
    <row r="25" spans="1:17" x14ac:dyDescent="0.3">
      <c r="A25" s="76"/>
      <c r="B25" s="79"/>
      <c r="C25" s="79"/>
      <c r="D25" s="79"/>
      <c r="E25" s="79"/>
      <c r="F25" s="79"/>
      <c r="G25" s="79"/>
      <c r="H25" s="79"/>
      <c r="I25" s="79"/>
      <c r="J25" s="79"/>
      <c r="K25" s="79"/>
      <c r="L25" s="79"/>
      <c r="M25" s="79"/>
      <c r="N25" s="79"/>
      <c r="O25" s="79"/>
      <c r="P25" s="79"/>
      <c r="Q25" s="79"/>
    </row>
    <row r="26" spans="1:17" ht="43.2" x14ac:dyDescent="0.3">
      <c r="A26" s="80" t="s">
        <v>88</v>
      </c>
      <c r="B26" s="78">
        <v>127.84498625000001</v>
      </c>
      <c r="C26" s="78">
        <v>125.89993250000001</v>
      </c>
      <c r="D26" s="78">
        <v>138.91832725</v>
      </c>
      <c r="E26" s="78">
        <v>158.55708325000001</v>
      </c>
      <c r="F26" s="78">
        <v>27.723035500000002</v>
      </c>
      <c r="G26" s="78">
        <v>27.776798249999999</v>
      </c>
      <c r="H26" s="78">
        <v>26.343808000000003</v>
      </c>
      <c r="I26" s="78">
        <v>27.753915499999998</v>
      </c>
      <c r="J26" s="78">
        <v>77127.222516000009</v>
      </c>
      <c r="K26" s="78">
        <v>70141.494151999999</v>
      </c>
      <c r="L26" s="78">
        <v>2605.3142800000001</v>
      </c>
      <c r="M26" s="78">
        <v>4380.4140850000003</v>
      </c>
      <c r="N26" s="78">
        <v>5247407.7619270002</v>
      </c>
      <c r="O26" s="78">
        <v>4756955.204384</v>
      </c>
      <c r="P26" s="78">
        <v>189138.20864900001</v>
      </c>
      <c r="Q26" s="78">
        <v>301314.34878299996</v>
      </c>
    </row>
    <row r="27" spans="1:17" x14ac:dyDescent="0.3">
      <c r="A27" s="81"/>
      <c r="B27" s="79"/>
      <c r="C27" s="79"/>
      <c r="D27" s="79"/>
      <c r="E27" s="79"/>
      <c r="F27" s="79"/>
      <c r="G27" s="79"/>
      <c r="H27" s="79"/>
      <c r="I27" s="79"/>
      <c r="J27" s="79"/>
      <c r="K27" s="79"/>
      <c r="L27" s="79"/>
      <c r="M27" s="79"/>
      <c r="N27" s="79"/>
      <c r="O27" s="79"/>
      <c r="P27" s="79"/>
      <c r="Q27" s="79"/>
    </row>
    <row r="28" spans="1:17" ht="28.8" x14ac:dyDescent="0.3">
      <c r="A28" s="80" t="s">
        <v>89</v>
      </c>
      <c r="B28" s="78">
        <v>27.001401250000001</v>
      </c>
      <c r="C28" s="78">
        <v>26.440515250000001</v>
      </c>
      <c r="D28" s="78">
        <v>32.323300500000002</v>
      </c>
      <c r="E28" s="78">
        <v>34.385015499999994</v>
      </c>
      <c r="F28" s="78">
        <v>46.528677500000001</v>
      </c>
      <c r="G28" s="78">
        <v>46.621110000000002</v>
      </c>
      <c r="H28" s="78">
        <v>44.139850750000001</v>
      </c>
      <c r="I28" s="78">
        <v>46.516636249999998</v>
      </c>
      <c r="J28" s="78">
        <v>91369.722329000011</v>
      </c>
      <c r="K28" s="78">
        <v>83223.746677999996</v>
      </c>
      <c r="L28" s="78">
        <v>3048.783989</v>
      </c>
      <c r="M28" s="78">
        <v>5097.1916620000002</v>
      </c>
      <c r="N28" s="78">
        <v>1108530.7477289999</v>
      </c>
      <c r="O28" s="78">
        <v>999481.10853499989</v>
      </c>
      <c r="P28" s="78">
        <v>43956.012723</v>
      </c>
      <c r="Q28" s="78">
        <v>65093.626475000005</v>
      </c>
    </row>
    <row r="29" spans="1:17" x14ac:dyDescent="0.3">
      <c r="A29" s="81"/>
      <c r="B29" s="79"/>
      <c r="C29" s="79"/>
      <c r="D29" s="79"/>
      <c r="E29" s="79"/>
      <c r="F29" s="79"/>
      <c r="G29" s="79"/>
      <c r="H29" s="79"/>
      <c r="I29" s="79"/>
      <c r="J29" s="79"/>
      <c r="K29" s="79"/>
      <c r="L29" s="79"/>
      <c r="M29" s="79"/>
      <c r="N29" s="79"/>
      <c r="O29" s="79"/>
      <c r="P29" s="79"/>
      <c r="Q29" s="79"/>
    </row>
    <row r="30" spans="1:17" ht="75" customHeight="1" x14ac:dyDescent="0.3">
      <c r="A30" s="80" t="s">
        <v>90</v>
      </c>
      <c r="B30" s="78">
        <v>26.62111625</v>
      </c>
      <c r="C30" s="78">
        <v>26.05057</v>
      </c>
      <c r="D30" s="78">
        <v>31.966995750000002</v>
      </c>
      <c r="E30" s="78">
        <v>34.189850749999998</v>
      </c>
      <c r="F30" s="78">
        <v>46.631552249999999</v>
      </c>
      <c r="G30" s="78">
        <v>46.728746999999998</v>
      </c>
      <c r="H30" s="78">
        <v>44.252242000000003</v>
      </c>
      <c r="I30" s="78">
        <v>46.539147999999997</v>
      </c>
      <c r="J30" s="78">
        <v>91312.702925000005</v>
      </c>
      <c r="K30" s="78">
        <v>83173.989771000008</v>
      </c>
      <c r="L30" s="78">
        <v>3052.9858910000003</v>
      </c>
      <c r="M30" s="78">
        <v>5085.7272630000007</v>
      </c>
      <c r="N30" s="78">
        <v>1091935.527586</v>
      </c>
      <c r="O30" s="78">
        <v>983929.88898000005</v>
      </c>
      <c r="P30" s="78">
        <v>43359.665881000001</v>
      </c>
      <c r="Q30" s="78">
        <v>64645.972728999994</v>
      </c>
    </row>
    <row r="31" spans="1:17" x14ac:dyDescent="0.3">
      <c r="N31" s="36"/>
    </row>
    <row r="32" spans="1:17" x14ac:dyDescent="0.3">
      <c r="D32">
        <v>2025</v>
      </c>
      <c r="E32">
        <v>2030</v>
      </c>
      <c r="F32">
        <v>2035</v>
      </c>
      <c r="G32">
        <v>2040</v>
      </c>
      <c r="H32">
        <v>2045</v>
      </c>
      <c r="I32">
        <v>2050</v>
      </c>
    </row>
    <row r="33" spans="1:14" ht="15" thickBot="1" x14ac:dyDescent="0.35"/>
    <row r="34" spans="1:14" ht="18" x14ac:dyDescent="0.35">
      <c r="A34" s="102" t="s">
        <v>115</v>
      </c>
      <c r="B34" s="103"/>
      <c r="C34" s="103"/>
      <c r="D34" s="103"/>
      <c r="E34" s="103"/>
      <c r="F34" s="103"/>
      <c r="G34" s="103"/>
      <c r="H34" s="103"/>
      <c r="I34" s="104"/>
      <c r="N34" s="39"/>
    </row>
    <row r="35" spans="1:14" x14ac:dyDescent="0.3">
      <c r="A35" s="105" t="s">
        <v>102</v>
      </c>
      <c r="B35" s="106"/>
      <c r="C35" s="106"/>
      <c r="D35" s="106"/>
      <c r="E35" s="106"/>
      <c r="F35" s="106"/>
      <c r="G35" s="106"/>
      <c r="H35" s="106"/>
      <c r="I35" s="107"/>
    </row>
    <row r="36" spans="1:14" x14ac:dyDescent="0.3">
      <c r="A36" s="26" t="s">
        <v>99</v>
      </c>
      <c r="B36" s="106"/>
      <c r="C36" s="106"/>
      <c r="D36" s="108">
        <f>$H36*((1-0.0136)^20)</f>
        <v>813.54283403424881</v>
      </c>
      <c r="E36" s="108">
        <f>$H36*((1-0.0136)^15)</f>
        <v>871.19446207853639</v>
      </c>
      <c r="F36" s="108">
        <f>$H36*((1-0.0136)^10)</f>
        <v>932.93156672849352</v>
      </c>
      <c r="G36" s="108">
        <f>$H36*((1-0.0136)^5)</f>
        <v>999.0436648574796</v>
      </c>
      <c r="H36" s="109">
        <f>((O13-O15)+(O26-O28))/(60*60)*0.75</f>
        <v>1069.8407899218751</v>
      </c>
      <c r="I36" s="110">
        <f>$H36*((1+0.0136)^5)</f>
        <v>1144.595836031041</v>
      </c>
    </row>
    <row r="37" spans="1:14" x14ac:dyDescent="0.3">
      <c r="A37" s="26" t="s">
        <v>100</v>
      </c>
      <c r="B37" s="106"/>
      <c r="C37" s="106"/>
      <c r="D37" s="108">
        <f t="shared" ref="D37:D38" si="0">H37*((1-0.0136)^20)</f>
        <v>32.686917276056427</v>
      </c>
      <c r="E37" s="108">
        <f t="shared" ref="E37:E38" si="1">$H37*((1-0.0136)^15)</f>
        <v>35.00327225809081</v>
      </c>
      <c r="F37" s="108">
        <f t="shared" ref="F37:F38" si="2">$H37*((1-0.0136)^10)</f>
        <v>37.483775494225803</v>
      </c>
      <c r="G37" s="108">
        <f t="shared" ref="G37:G38" si="3">$H37*((1-0.0136)^5)</f>
        <v>40.140059333360099</v>
      </c>
      <c r="H37" s="109">
        <f>((P13-P15)+(P26-P28))/(60*60)*0.75</f>
        <v>42.984580449583333</v>
      </c>
      <c r="I37" s="110">
        <f t="shared" ref="I37:I38" si="4">$H37*((1+0.0136)^5)</f>
        <v>45.988124830917307</v>
      </c>
    </row>
    <row r="38" spans="1:14" x14ac:dyDescent="0.3">
      <c r="A38" s="26" t="s">
        <v>101</v>
      </c>
      <c r="B38" s="106"/>
      <c r="C38" s="106"/>
      <c r="D38" s="108">
        <f t="shared" si="0"/>
        <v>47.109573559902969</v>
      </c>
      <c r="E38" s="108">
        <f t="shared" si="1"/>
        <v>50.447988574552575</v>
      </c>
      <c r="F38" s="108">
        <f t="shared" si="2"/>
        <v>54.02298002086669</v>
      </c>
      <c r="G38" s="108">
        <f t="shared" si="3"/>
        <v>57.851312862989516</v>
      </c>
      <c r="H38" s="108">
        <f>((Q26-Q28)+(P13-P15))/(60*60)*0.75</f>
        <v>61.950940112499993</v>
      </c>
      <c r="I38" s="110">
        <f t="shared" si="4"/>
        <v>66.279757473216165</v>
      </c>
    </row>
    <row r="39" spans="1:14" x14ac:dyDescent="0.3">
      <c r="A39" s="26"/>
      <c r="B39" s="106"/>
      <c r="C39" s="106"/>
      <c r="D39" s="106"/>
      <c r="E39" s="106"/>
      <c r="F39" s="106"/>
      <c r="G39" s="106"/>
      <c r="H39" s="106"/>
      <c r="I39" s="107"/>
    </row>
    <row r="40" spans="1:14" x14ac:dyDescent="0.3">
      <c r="A40" s="105" t="s">
        <v>106</v>
      </c>
      <c r="B40" s="106"/>
      <c r="C40" s="106"/>
      <c r="D40" s="106"/>
      <c r="E40" s="106"/>
      <c r="F40" s="106"/>
      <c r="G40" s="106"/>
      <c r="H40" s="106"/>
      <c r="I40" s="107"/>
    </row>
    <row r="41" spans="1:14" x14ac:dyDescent="0.3">
      <c r="A41" s="26" t="s">
        <v>99</v>
      </c>
      <c r="B41" s="106"/>
      <c r="C41" s="106"/>
      <c r="D41" s="111">
        <f t="shared" ref="D41:G43" si="5">250*D36</f>
        <v>203385.70850856221</v>
      </c>
      <c r="E41" s="111">
        <f t="shared" si="5"/>
        <v>217798.6155196341</v>
      </c>
      <c r="F41" s="111">
        <f t="shared" si="5"/>
        <v>233232.89168212339</v>
      </c>
      <c r="G41" s="111">
        <f t="shared" si="5"/>
        <v>249760.91621436991</v>
      </c>
      <c r="H41" s="111">
        <f>250*H36</f>
        <v>267460.19748046878</v>
      </c>
      <c r="I41" s="112">
        <f>250*I36</f>
        <v>286148.95900776028</v>
      </c>
    </row>
    <row r="42" spans="1:14" x14ac:dyDescent="0.3">
      <c r="A42" s="26" t="s">
        <v>100</v>
      </c>
      <c r="B42" s="106"/>
      <c r="C42" s="106"/>
      <c r="D42" s="113">
        <f t="shared" si="5"/>
        <v>8171.7293190141063</v>
      </c>
      <c r="E42" s="113">
        <f t="shared" si="5"/>
        <v>8750.8180645227021</v>
      </c>
      <c r="F42" s="113">
        <f t="shared" si="5"/>
        <v>9370.9438735564509</v>
      </c>
      <c r="G42" s="113">
        <f t="shared" si="5"/>
        <v>10035.014833340025</v>
      </c>
      <c r="H42" s="113">
        <f t="shared" ref="H42:H43" si="6">250*H37</f>
        <v>10746.145112395834</v>
      </c>
      <c r="I42" s="114">
        <f t="shared" ref="I42" si="7">250*I37</f>
        <v>11497.031207729327</v>
      </c>
    </row>
    <row r="43" spans="1:14" x14ac:dyDescent="0.3">
      <c r="A43" s="26" t="s">
        <v>101</v>
      </c>
      <c r="B43" s="106"/>
      <c r="C43" s="106"/>
      <c r="D43" s="113">
        <f t="shared" si="5"/>
        <v>11777.393389975743</v>
      </c>
      <c r="E43" s="113">
        <f t="shared" si="5"/>
        <v>12611.997143638144</v>
      </c>
      <c r="F43" s="113">
        <f t="shared" si="5"/>
        <v>13505.745005216673</v>
      </c>
      <c r="G43" s="113">
        <f t="shared" si="5"/>
        <v>14462.828215747379</v>
      </c>
      <c r="H43" s="113">
        <f t="shared" si="6"/>
        <v>15487.735028124998</v>
      </c>
      <c r="I43" s="114">
        <f t="shared" ref="I43" si="8">250*I38</f>
        <v>16569.93936830404</v>
      </c>
    </row>
    <row r="44" spans="1:14" x14ac:dyDescent="0.3">
      <c r="A44" s="26"/>
      <c r="B44" s="106"/>
      <c r="C44" s="106"/>
      <c r="D44" s="111"/>
      <c r="E44" s="111"/>
      <c r="F44" s="111"/>
      <c r="G44" s="111"/>
      <c r="H44" s="111"/>
      <c r="I44" s="112"/>
    </row>
    <row r="45" spans="1:14" x14ac:dyDescent="0.3">
      <c r="A45" s="26" t="s">
        <v>107</v>
      </c>
      <c r="B45" s="106"/>
      <c r="C45" s="106"/>
      <c r="D45" s="113">
        <f>D41*1.48</f>
        <v>301010.84859267209</v>
      </c>
      <c r="E45" s="113">
        <f t="shared" ref="E45:I45" si="9">E41*1.48</f>
        <v>322341.95096905844</v>
      </c>
      <c r="F45" s="113">
        <f t="shared" si="9"/>
        <v>345184.67968954262</v>
      </c>
      <c r="G45" s="113">
        <f t="shared" si="9"/>
        <v>369646.15599726746</v>
      </c>
      <c r="H45" s="113">
        <f t="shared" si="9"/>
        <v>395841.0922710938</v>
      </c>
      <c r="I45" s="114">
        <f t="shared" si="9"/>
        <v>423500.45933148521</v>
      </c>
    </row>
    <row r="46" spans="1:14" ht="15" thickBot="1" x14ac:dyDescent="0.35">
      <c r="A46" s="28"/>
      <c r="B46" s="115"/>
      <c r="C46" s="115"/>
      <c r="D46" s="115"/>
      <c r="E46" s="115"/>
      <c r="F46" s="115"/>
      <c r="G46" s="115"/>
      <c r="H46" s="115"/>
      <c r="I46" s="116"/>
    </row>
    <row r="47" spans="1:14" x14ac:dyDescent="0.3">
      <c r="A47" s="91" t="s">
        <v>91</v>
      </c>
      <c r="B47" s="91"/>
      <c r="C47" s="91"/>
      <c r="D47" s="91"/>
      <c r="E47" s="91"/>
    </row>
    <row r="48" spans="1:14" x14ac:dyDescent="0.3">
      <c r="A48" s="91" t="s">
        <v>92</v>
      </c>
      <c r="B48" s="91"/>
      <c r="C48" s="91"/>
      <c r="D48" s="91"/>
      <c r="E48" s="91"/>
    </row>
    <row r="49" spans="1:5" x14ac:dyDescent="0.3">
      <c r="A49" s="91" t="s">
        <v>93</v>
      </c>
      <c r="B49" s="91"/>
      <c r="C49" s="91"/>
      <c r="D49" s="91"/>
      <c r="E49" s="91"/>
    </row>
    <row r="50" spans="1:5" x14ac:dyDescent="0.3">
      <c r="A50" s="91" t="s">
        <v>94</v>
      </c>
      <c r="B50" s="91"/>
      <c r="C50" s="91"/>
      <c r="D50" s="91"/>
      <c r="E50" s="91"/>
    </row>
    <row r="51" spans="1:5" x14ac:dyDescent="0.3">
      <c r="A51" s="91" t="s">
        <v>95</v>
      </c>
      <c r="B51" s="91"/>
      <c r="C51" s="91"/>
      <c r="D51" s="91"/>
      <c r="E51" s="91"/>
    </row>
    <row r="52" spans="1:5" x14ac:dyDescent="0.3">
      <c r="A52" s="91" t="s">
        <v>96</v>
      </c>
      <c r="B52" s="91"/>
      <c r="C52" s="91"/>
      <c r="D52" s="91"/>
      <c r="E52" s="91"/>
    </row>
    <row r="53" spans="1:5" x14ac:dyDescent="0.3">
      <c r="A53" s="91" t="s">
        <v>97</v>
      </c>
      <c r="B53" s="91"/>
      <c r="C53" s="91"/>
      <c r="D53" s="91"/>
      <c r="E53" s="91"/>
    </row>
    <row r="55" spans="1:5" x14ac:dyDescent="0.3">
      <c r="A55" s="91" t="s">
        <v>117</v>
      </c>
    </row>
    <row r="56" spans="1:5" x14ac:dyDescent="0.3">
      <c r="A56" s="91" t="s">
        <v>120</v>
      </c>
    </row>
  </sheetData>
  <mergeCells count="8">
    <mergeCell ref="B8:E8"/>
    <mergeCell ref="F8:I8"/>
    <mergeCell ref="J8:M8"/>
    <mergeCell ref="N8:Q8"/>
    <mergeCell ref="B21:E21"/>
    <mergeCell ref="F21:I21"/>
    <mergeCell ref="J21:M21"/>
    <mergeCell ref="N21:Q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73C4-A935-4B6D-BF36-68E8D2857505}">
  <dimension ref="A1:AJ54"/>
  <sheetViews>
    <sheetView topLeftCell="M1" zoomScaleNormal="100" workbookViewId="0">
      <selection activeCell="Z31" sqref="Z31"/>
    </sheetView>
  </sheetViews>
  <sheetFormatPr defaultRowHeight="14.4" x14ac:dyDescent="0.3"/>
  <cols>
    <col min="1" max="1" width="30.77734375" customWidth="1"/>
    <col min="2" max="27" width="11.77734375" customWidth="1"/>
    <col min="28" max="36" width="9.5546875" bestFit="1" customWidth="1"/>
  </cols>
  <sheetData>
    <row r="1" spans="1:36" x14ac:dyDescent="0.3">
      <c r="A1" s="30"/>
      <c r="B1" s="30"/>
      <c r="C1" s="30"/>
      <c r="D1" s="30"/>
      <c r="E1" s="30"/>
      <c r="F1" s="30"/>
      <c r="G1" s="30"/>
      <c r="H1" s="30"/>
      <c r="I1" s="30"/>
      <c r="J1" s="30"/>
      <c r="K1" s="30"/>
      <c r="L1" s="30"/>
      <c r="M1" s="30"/>
      <c r="N1" s="30"/>
      <c r="O1" s="30"/>
      <c r="P1" s="30"/>
      <c r="Q1" s="30"/>
      <c r="R1" s="30"/>
      <c r="S1" s="30"/>
      <c r="T1" s="30"/>
      <c r="U1" s="30"/>
      <c r="V1" s="30"/>
      <c r="W1" s="30"/>
      <c r="X1" s="30"/>
      <c r="Y1" s="30"/>
      <c r="Z1" s="30"/>
    </row>
    <row r="2" spans="1:36" ht="18" x14ac:dyDescent="0.35">
      <c r="A2" s="19" t="s">
        <v>108</v>
      </c>
    </row>
    <row r="5" spans="1:36" x14ac:dyDescent="0.3">
      <c r="B5">
        <v>2025</v>
      </c>
      <c r="C5">
        <f>B5+1</f>
        <v>2026</v>
      </c>
      <c r="D5">
        <f t="shared" ref="D5:AA5" si="0">C5+1</f>
        <v>2027</v>
      </c>
      <c r="E5">
        <f t="shared" si="0"/>
        <v>2028</v>
      </c>
      <c r="F5">
        <f t="shared" si="0"/>
        <v>2029</v>
      </c>
      <c r="G5">
        <f t="shared" si="0"/>
        <v>2030</v>
      </c>
      <c r="H5">
        <f t="shared" si="0"/>
        <v>2031</v>
      </c>
      <c r="I5">
        <f t="shared" si="0"/>
        <v>2032</v>
      </c>
      <c r="J5">
        <f t="shared" si="0"/>
        <v>2033</v>
      </c>
      <c r="K5">
        <f t="shared" si="0"/>
        <v>2034</v>
      </c>
      <c r="L5">
        <f t="shared" si="0"/>
        <v>2035</v>
      </c>
      <c r="M5">
        <f t="shared" si="0"/>
        <v>2036</v>
      </c>
      <c r="N5">
        <f t="shared" si="0"/>
        <v>2037</v>
      </c>
      <c r="O5">
        <f t="shared" si="0"/>
        <v>2038</v>
      </c>
      <c r="P5">
        <f t="shared" si="0"/>
        <v>2039</v>
      </c>
      <c r="Q5">
        <f t="shared" si="0"/>
        <v>2040</v>
      </c>
      <c r="R5">
        <f t="shared" si="0"/>
        <v>2041</v>
      </c>
      <c r="S5">
        <f t="shared" si="0"/>
        <v>2042</v>
      </c>
      <c r="T5">
        <f t="shared" si="0"/>
        <v>2043</v>
      </c>
      <c r="U5">
        <f t="shared" si="0"/>
        <v>2044</v>
      </c>
      <c r="V5">
        <f t="shared" si="0"/>
        <v>2045</v>
      </c>
      <c r="W5">
        <f t="shared" si="0"/>
        <v>2046</v>
      </c>
      <c r="X5">
        <f t="shared" si="0"/>
        <v>2047</v>
      </c>
      <c r="Y5">
        <f t="shared" si="0"/>
        <v>2048</v>
      </c>
      <c r="Z5">
        <f t="shared" si="0"/>
        <v>2049</v>
      </c>
      <c r="AA5">
        <f t="shared" si="0"/>
        <v>2050</v>
      </c>
    </row>
    <row r="8" spans="1:36" x14ac:dyDescent="0.3">
      <c r="A8" s="52" t="s">
        <v>109</v>
      </c>
      <c r="B8" s="98">
        <f>'Travel Delay Reductions'!D45*'Look up Table'!$H$33</f>
        <v>5083185.3570405059</v>
      </c>
      <c r="C8" s="36">
        <f>(($G8-$B8)/5)+B8</f>
        <v>5155229.2370243175</v>
      </c>
      <c r="D8" s="36">
        <f t="shared" ref="D8:F8" si="1">(($G8-$B8)/5)+C8</f>
        <v>5227273.1170081291</v>
      </c>
      <c r="E8" s="36">
        <f t="shared" si="1"/>
        <v>5299316.9969919408</v>
      </c>
      <c r="F8" s="36">
        <f t="shared" si="1"/>
        <v>5371360.8769757524</v>
      </c>
      <c r="G8" s="98">
        <f>'Travel Delay Reductions'!E45*'Look up Table'!$H$33</f>
        <v>5443404.7569595641</v>
      </c>
      <c r="H8" s="36">
        <f>(($L8-$G8)/5)+G8</f>
        <v>5520554.0189809734</v>
      </c>
      <c r="I8" s="36">
        <f t="shared" ref="I8:K11" si="2">(($L8-$G8)/5)+H8</f>
        <v>5597703.2810023827</v>
      </c>
      <c r="J8" s="36">
        <f t="shared" si="2"/>
        <v>5674852.5430237921</v>
      </c>
      <c r="K8" s="36">
        <f t="shared" si="2"/>
        <v>5752001.8050452014</v>
      </c>
      <c r="L8" s="98">
        <f>'Travel Delay Reductions'!F45*'Look up Table'!$H$33</f>
        <v>5829151.0670666099</v>
      </c>
      <c r="M8" s="36">
        <f>(($Q8-$L8)/5)+L8</f>
        <v>5911767.5034909863</v>
      </c>
      <c r="N8" s="36">
        <f t="shared" ref="N8:P8" si="3">(($Q8-$L8)/5)+M8</f>
        <v>5994383.9399153627</v>
      </c>
      <c r="O8" s="36">
        <f t="shared" si="3"/>
        <v>6077000.3763397392</v>
      </c>
      <c r="P8" s="36">
        <f t="shared" si="3"/>
        <v>6159616.8127641156</v>
      </c>
      <c r="Q8" s="98">
        <f>'Travel Delay Reductions'!G45*'Look up Table'!$H$33</f>
        <v>6242233.2491884911</v>
      </c>
      <c r="R8" s="36">
        <f>(($V8-$Q8)/5)+Q8</f>
        <v>6330704.2907594256</v>
      </c>
      <c r="S8" s="36">
        <f t="shared" ref="S8:U8" si="4">(($V8-$Q8)/5)+R8</f>
        <v>6419175.3323303601</v>
      </c>
      <c r="T8" s="36">
        <f t="shared" si="4"/>
        <v>6507646.3739012945</v>
      </c>
      <c r="U8" s="36">
        <f t="shared" si="4"/>
        <v>6596117.415472229</v>
      </c>
      <c r="V8" s="98">
        <f>'Travel Delay Reductions'!H45*'Look up Table'!$H$33</f>
        <v>6684588.4570431644</v>
      </c>
      <c r="W8" s="36">
        <f>(($AA8-$V8)/5)+V8</f>
        <v>6778005.4819003958</v>
      </c>
      <c r="X8" s="36">
        <f t="shared" ref="X8:Z8" si="5">(($AA8-$V8)/5)+W8</f>
        <v>6871422.5067576272</v>
      </c>
      <c r="Y8" s="36">
        <f t="shared" si="5"/>
        <v>6964839.5316148587</v>
      </c>
      <c r="Z8" s="36">
        <f t="shared" si="5"/>
        <v>7058256.5564720901</v>
      </c>
      <c r="AA8" s="98">
        <f>'Travel Delay Reductions'!I45*'Look up Table'!$H$33</f>
        <v>7151673.5813293224</v>
      </c>
    </row>
    <row r="9" spans="1:36" x14ac:dyDescent="0.3">
      <c r="A9" s="52" t="s">
        <v>110</v>
      </c>
      <c r="B9" s="98">
        <f>'Travel Delay Reductions'!E42*'Look up Table'!$H$33</f>
        <v>147775.50528718793</v>
      </c>
      <c r="C9" s="36">
        <f t="shared" ref="C9:F11" si="6">(($G9-$B9)/5)+B9</f>
        <v>170743.02357881112</v>
      </c>
      <c r="D9" s="36">
        <f t="shared" si="6"/>
        <v>193710.5418704343</v>
      </c>
      <c r="E9" s="36">
        <f t="shared" si="6"/>
        <v>216678.06016205749</v>
      </c>
      <c r="F9" s="36">
        <f t="shared" si="6"/>
        <v>239645.57845368068</v>
      </c>
      <c r="G9" s="98">
        <f>'Travel Delay Reductions'!E42*'Look up Table'!$H$34</f>
        <v>262613.09674530383</v>
      </c>
      <c r="H9" s="36">
        <f t="shared" ref="H9:H11" si="7">(($L9-$G9)/5)+G9</f>
        <v>266335.10668497504</v>
      </c>
      <c r="I9" s="36">
        <f t="shared" si="2"/>
        <v>270057.11662464624</v>
      </c>
      <c r="J9" s="36">
        <f t="shared" si="2"/>
        <v>273779.12656431744</v>
      </c>
      <c r="K9" s="36">
        <f t="shared" si="2"/>
        <v>277501.13650398864</v>
      </c>
      <c r="L9" s="98">
        <f>'Travel Delay Reductions'!F42*'Look up Table'!$H$34</f>
        <v>281223.14644365991</v>
      </c>
      <c r="M9" s="36">
        <f t="shared" ref="M9:P11" si="8">(($Q9-$L9)/5)+L9</f>
        <v>285208.91622933088</v>
      </c>
      <c r="N9" s="36">
        <f t="shared" si="8"/>
        <v>289194.68601500185</v>
      </c>
      <c r="O9" s="36">
        <f t="shared" si="8"/>
        <v>293180.45580067282</v>
      </c>
      <c r="P9" s="36">
        <f t="shared" si="8"/>
        <v>297166.22558634379</v>
      </c>
      <c r="Q9" s="98">
        <f>'Travel Delay Reductions'!G42*'Look up Table'!$H$34</f>
        <v>301151.99537201464</v>
      </c>
      <c r="R9" s="36">
        <f t="shared" ref="R9:U11" si="9">(($V9-$Q9)/5)+Q9</f>
        <v>305420.21631764993</v>
      </c>
      <c r="S9" s="36">
        <f t="shared" si="9"/>
        <v>309688.43726328522</v>
      </c>
      <c r="T9" s="36">
        <f t="shared" si="9"/>
        <v>313956.6582089205</v>
      </c>
      <c r="U9" s="36">
        <f t="shared" si="9"/>
        <v>318224.87915455579</v>
      </c>
      <c r="V9" s="98">
        <f>'Travel Delay Reductions'!H42*'Look up Table'!$H$34</f>
        <v>322493.10010019119</v>
      </c>
      <c r="W9" s="36">
        <f t="shared" ref="W9:Z11" si="10">(($AA9-$V9)/5)+V9</f>
        <v>326999.93640611257</v>
      </c>
      <c r="X9" s="36">
        <f t="shared" si="10"/>
        <v>331506.77271203394</v>
      </c>
      <c r="Y9" s="36">
        <f t="shared" si="10"/>
        <v>336013.60901795531</v>
      </c>
      <c r="Z9" s="36">
        <f t="shared" si="10"/>
        <v>340520.44532387669</v>
      </c>
      <c r="AA9" s="98">
        <f>'Travel Delay Reductions'!I42*'Look up Table'!$H$34</f>
        <v>345027.28162979812</v>
      </c>
      <c r="AG9" s="24"/>
      <c r="AH9" s="24"/>
      <c r="AI9" s="24"/>
      <c r="AJ9" s="24"/>
    </row>
    <row r="10" spans="1:36" hidden="1" x14ac:dyDescent="0.3">
      <c r="A10" s="52"/>
      <c r="B10" s="98">
        <f>'Travel Delay Reductions'!D47*'Look up Table'!$H$33</f>
        <v>0</v>
      </c>
      <c r="C10" s="36">
        <f t="shared" si="6"/>
        <v>332641.71609003167</v>
      </c>
      <c r="D10" s="36">
        <f t="shared" si="6"/>
        <v>665283.43218006333</v>
      </c>
      <c r="E10" s="36">
        <f t="shared" si="6"/>
        <v>997925.148270095</v>
      </c>
      <c r="F10" s="36">
        <f t="shared" si="6"/>
        <v>1330566.8643601267</v>
      </c>
      <c r="G10" s="98">
        <f>'Accident Reductions'!I48*'Look up Table'!S29</f>
        <v>1663208.5804501583</v>
      </c>
      <c r="H10" s="36">
        <f t="shared" si="7"/>
        <v>1330566.8643601267</v>
      </c>
      <c r="I10" s="36">
        <f t="shared" si="2"/>
        <v>997925.148270095</v>
      </c>
      <c r="J10" s="36">
        <f t="shared" si="2"/>
        <v>665283.43218006333</v>
      </c>
      <c r="K10" s="36">
        <f t="shared" si="2"/>
        <v>332641.71609003167</v>
      </c>
      <c r="L10" s="98">
        <f>'Travel Delay Reductions'!F47*'Look up Table'!$G$33</f>
        <v>0</v>
      </c>
      <c r="M10" s="36">
        <f t="shared" si="8"/>
        <v>0</v>
      </c>
      <c r="N10" s="36">
        <f t="shared" si="8"/>
        <v>0</v>
      </c>
      <c r="O10" s="36">
        <f t="shared" si="8"/>
        <v>0</v>
      </c>
      <c r="P10" s="36">
        <f t="shared" si="8"/>
        <v>0</v>
      </c>
      <c r="Q10" s="98">
        <f>'Accident Reductions'!S48*'Look up Table'!AC29</f>
        <v>0</v>
      </c>
      <c r="R10" s="36">
        <f t="shared" si="9"/>
        <v>0</v>
      </c>
      <c r="S10" s="36">
        <f t="shared" si="9"/>
        <v>0</v>
      </c>
      <c r="T10" s="36">
        <f t="shared" si="9"/>
        <v>0</v>
      </c>
      <c r="U10" s="36">
        <f t="shared" si="9"/>
        <v>0</v>
      </c>
      <c r="V10" s="98">
        <f>'Accident Reductions'!X48*'Look up Table'!AH29</f>
        <v>0</v>
      </c>
      <c r="W10" s="36">
        <f t="shared" si="10"/>
        <v>0</v>
      </c>
      <c r="X10" s="36">
        <f t="shared" si="10"/>
        <v>0</v>
      </c>
      <c r="Y10" s="36">
        <f t="shared" si="10"/>
        <v>0</v>
      </c>
      <c r="Z10" s="36">
        <f t="shared" si="10"/>
        <v>0</v>
      </c>
      <c r="AA10" s="98">
        <f>'Accident Reductions'!AC48*'Look up Table'!AM29</f>
        <v>0</v>
      </c>
      <c r="AG10" s="4"/>
      <c r="AH10" s="4"/>
      <c r="AI10" s="4"/>
      <c r="AJ10" s="4"/>
    </row>
    <row r="11" spans="1:36" x14ac:dyDescent="0.3">
      <c r="A11" s="52" t="s">
        <v>111</v>
      </c>
      <c r="B11" s="98">
        <f>'Travel Delay Reductions'!E43*'Look up Table'!$H$33</f>
        <v>212979.43081888906</v>
      </c>
      <c r="C11" s="36">
        <f t="shared" si="6"/>
        <v>246081.05319917423</v>
      </c>
      <c r="D11" s="36">
        <f t="shared" si="6"/>
        <v>279182.67557945941</v>
      </c>
      <c r="E11" s="36">
        <f t="shared" si="6"/>
        <v>312284.29795974458</v>
      </c>
      <c r="F11" s="36">
        <f t="shared" si="6"/>
        <v>345385.92034002976</v>
      </c>
      <c r="G11" s="98">
        <f>'Travel Delay Reductions'!E43*'Look up Table'!$H$34</f>
        <v>378487.54272031487</v>
      </c>
      <c r="H11" s="36">
        <f t="shared" si="7"/>
        <v>383851.83876459405</v>
      </c>
      <c r="I11" s="36">
        <f t="shared" si="2"/>
        <v>389216.13480887323</v>
      </c>
      <c r="J11" s="36">
        <f t="shared" si="2"/>
        <v>394580.43085315241</v>
      </c>
      <c r="K11" s="36">
        <f t="shared" si="2"/>
        <v>399944.7268974316</v>
      </c>
      <c r="L11" s="98">
        <f>'Travel Delay Reductions'!F43*'Look up Table'!$H$34</f>
        <v>405309.02294171089</v>
      </c>
      <c r="M11" s="36">
        <f t="shared" si="8"/>
        <v>411053.45926542766</v>
      </c>
      <c r="N11" s="36">
        <f t="shared" si="8"/>
        <v>416797.89558914443</v>
      </c>
      <c r="O11" s="36">
        <f t="shared" si="8"/>
        <v>422542.33191286121</v>
      </c>
      <c r="P11" s="36">
        <f t="shared" si="8"/>
        <v>428286.76823657798</v>
      </c>
      <c r="Q11" s="98">
        <f>'Travel Delay Reductions'!G43*'Look up Table'!$H$34</f>
        <v>434031.20456029486</v>
      </c>
      <c r="R11" s="36">
        <f t="shared" si="9"/>
        <v>440182.71976468567</v>
      </c>
      <c r="S11" s="36">
        <f t="shared" si="9"/>
        <v>446334.23496907647</v>
      </c>
      <c r="T11" s="36">
        <f t="shared" si="9"/>
        <v>452485.75017346727</v>
      </c>
      <c r="U11" s="36">
        <f t="shared" si="9"/>
        <v>458637.26537785807</v>
      </c>
      <c r="V11" s="98">
        <f>'Travel Delay Reductions'!H43*'Look up Table'!$H$34</f>
        <v>464788.78058224876</v>
      </c>
      <c r="W11" s="36">
        <f t="shared" si="10"/>
        <v>471284.19691910135</v>
      </c>
      <c r="X11" s="36">
        <f t="shared" si="10"/>
        <v>477779.61325595394</v>
      </c>
      <c r="Y11" s="36">
        <f t="shared" si="10"/>
        <v>484275.02959280653</v>
      </c>
      <c r="Z11" s="36">
        <f t="shared" si="10"/>
        <v>490770.44592965912</v>
      </c>
      <c r="AA11" s="98">
        <f>'Travel Delay Reductions'!I43*'Look up Table'!$H$34</f>
        <v>497265.8622665116</v>
      </c>
      <c r="AG11" s="4"/>
      <c r="AH11" s="4"/>
      <c r="AI11" s="4"/>
      <c r="AJ11" s="4"/>
    </row>
    <row r="12" spans="1:36" hidden="1" x14ac:dyDescent="0.3">
      <c r="G12" s="36"/>
    </row>
    <row r="13" spans="1:36" hidden="1" x14ac:dyDescent="0.3">
      <c r="A13" s="69" t="s">
        <v>42</v>
      </c>
      <c r="B13" s="39">
        <f t="shared" ref="B13:AA13" si="11">SUM(B8:B11)</f>
        <v>5443940.2931465833</v>
      </c>
      <c r="C13" s="39">
        <f t="shared" si="11"/>
        <v>5904695.0298923347</v>
      </c>
      <c r="D13" s="39">
        <f t="shared" si="11"/>
        <v>6365449.7666380862</v>
      </c>
      <c r="E13" s="39">
        <f t="shared" si="11"/>
        <v>6826204.5033838376</v>
      </c>
      <c r="F13" s="39">
        <f t="shared" si="11"/>
        <v>7286959.2401295891</v>
      </c>
      <c r="G13" s="39">
        <f t="shared" si="11"/>
        <v>7747713.9768753415</v>
      </c>
      <c r="H13" s="39">
        <f t="shared" si="11"/>
        <v>7501307.8287906693</v>
      </c>
      <c r="I13" s="39">
        <f t="shared" si="11"/>
        <v>7254901.6807059962</v>
      </c>
      <c r="J13" s="39">
        <f t="shared" si="11"/>
        <v>7008495.5326213259</v>
      </c>
      <c r="K13" s="39">
        <f t="shared" si="11"/>
        <v>6762089.3845366538</v>
      </c>
      <c r="L13" s="39">
        <f t="shared" si="11"/>
        <v>6515683.2364519797</v>
      </c>
      <c r="M13" s="39">
        <f t="shared" si="11"/>
        <v>6608029.8789857449</v>
      </c>
      <c r="N13" s="39">
        <f t="shared" si="11"/>
        <v>6700376.5215195082</v>
      </c>
      <c r="O13" s="39">
        <f t="shared" si="11"/>
        <v>6792723.1640532734</v>
      </c>
      <c r="P13" s="39">
        <f t="shared" si="11"/>
        <v>6885069.8065870367</v>
      </c>
      <c r="Q13" s="39">
        <f t="shared" si="11"/>
        <v>6977416.4491208009</v>
      </c>
      <c r="R13" s="39">
        <f t="shared" si="11"/>
        <v>7076307.2268417608</v>
      </c>
      <c r="S13" s="39">
        <f t="shared" si="11"/>
        <v>7175198.0045627216</v>
      </c>
      <c r="T13" s="39">
        <f t="shared" si="11"/>
        <v>7274088.7822836824</v>
      </c>
      <c r="U13" s="39">
        <f t="shared" si="11"/>
        <v>7372979.5600046422</v>
      </c>
      <c r="V13" s="39">
        <f t="shared" si="11"/>
        <v>7471870.3377256049</v>
      </c>
      <c r="W13" s="39">
        <f t="shared" si="11"/>
        <v>7576289.6152256094</v>
      </c>
      <c r="X13" s="39">
        <f t="shared" si="11"/>
        <v>7680708.8927256158</v>
      </c>
      <c r="Y13" s="39">
        <f t="shared" si="11"/>
        <v>7785128.1702256203</v>
      </c>
      <c r="Z13" s="39">
        <f t="shared" si="11"/>
        <v>7889547.4477256266</v>
      </c>
      <c r="AA13" s="39">
        <f t="shared" si="11"/>
        <v>7993966.7252256321</v>
      </c>
    </row>
    <row r="14" spans="1:36" x14ac:dyDescent="0.3">
      <c r="A14" s="97" t="s">
        <v>42</v>
      </c>
      <c r="B14" s="38">
        <f>SUM(B8:B11)</f>
        <v>5443940.2931465833</v>
      </c>
      <c r="C14" s="38">
        <f t="shared" ref="C14:AA14" si="12">SUM(C8:C11)</f>
        <v>5904695.0298923347</v>
      </c>
      <c r="D14" s="38">
        <f t="shared" si="12"/>
        <v>6365449.7666380862</v>
      </c>
      <c r="E14" s="38">
        <f t="shared" si="12"/>
        <v>6826204.5033838376</v>
      </c>
      <c r="F14" s="38">
        <f t="shared" si="12"/>
        <v>7286959.2401295891</v>
      </c>
      <c r="G14" s="38">
        <f t="shared" si="12"/>
        <v>7747713.9768753415</v>
      </c>
      <c r="H14" s="38">
        <f t="shared" si="12"/>
        <v>7501307.8287906693</v>
      </c>
      <c r="I14" s="38">
        <f t="shared" si="12"/>
        <v>7254901.6807059962</v>
      </c>
      <c r="J14" s="38">
        <f t="shared" si="12"/>
        <v>7008495.5326213259</v>
      </c>
      <c r="K14" s="38">
        <f t="shared" si="12"/>
        <v>6762089.3845366538</v>
      </c>
      <c r="L14" s="38">
        <f t="shared" si="12"/>
        <v>6515683.2364519797</v>
      </c>
      <c r="M14" s="38">
        <f t="shared" si="12"/>
        <v>6608029.8789857449</v>
      </c>
      <c r="N14" s="38">
        <f t="shared" si="12"/>
        <v>6700376.5215195082</v>
      </c>
      <c r="O14" s="38">
        <f t="shared" si="12"/>
        <v>6792723.1640532734</v>
      </c>
      <c r="P14" s="38">
        <f t="shared" si="12"/>
        <v>6885069.8065870367</v>
      </c>
      <c r="Q14" s="38">
        <f t="shared" si="12"/>
        <v>6977416.4491208009</v>
      </c>
      <c r="R14" s="38">
        <f t="shared" si="12"/>
        <v>7076307.2268417608</v>
      </c>
      <c r="S14" s="38">
        <f t="shared" si="12"/>
        <v>7175198.0045627216</v>
      </c>
      <c r="T14" s="38">
        <f t="shared" si="12"/>
        <v>7274088.7822836824</v>
      </c>
      <c r="U14" s="38">
        <f t="shared" si="12"/>
        <v>7372979.5600046422</v>
      </c>
      <c r="V14" s="38">
        <f t="shared" si="12"/>
        <v>7471870.3377256049</v>
      </c>
      <c r="W14" s="38">
        <f t="shared" si="12"/>
        <v>7576289.6152256094</v>
      </c>
      <c r="X14" s="38">
        <f t="shared" si="12"/>
        <v>7680708.8927256158</v>
      </c>
      <c r="Y14" s="38">
        <f t="shared" si="12"/>
        <v>7785128.1702256203</v>
      </c>
      <c r="Z14" s="38">
        <f t="shared" si="12"/>
        <v>7889547.4477256266</v>
      </c>
      <c r="AA14" s="38">
        <f t="shared" si="12"/>
        <v>7993966.7252256321</v>
      </c>
      <c r="AG14" s="4"/>
      <c r="AH14" s="4"/>
      <c r="AI14" s="4"/>
      <c r="AJ14" s="4"/>
    </row>
    <row r="15" spans="1:36" x14ac:dyDescent="0.3">
      <c r="AG15" s="4"/>
      <c r="AH15" s="4"/>
      <c r="AI15" s="4"/>
      <c r="AJ15" s="4"/>
    </row>
    <row r="16" spans="1:36" x14ac:dyDescent="0.3">
      <c r="AG16" s="4"/>
      <c r="AH16" s="4"/>
      <c r="AI16" s="4"/>
      <c r="AJ16" s="4"/>
    </row>
    <row r="17" spans="1:36" x14ac:dyDescent="0.3">
      <c r="AG17" s="20"/>
      <c r="AH17" s="20"/>
      <c r="AI17" s="20"/>
      <c r="AJ17" s="20"/>
    </row>
    <row r="18" spans="1:36" hidden="1" x14ac:dyDescent="0.3">
      <c r="A18" s="34"/>
      <c r="B18" s="34"/>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36" x14ac:dyDescent="0.3">
      <c r="A19" s="34"/>
      <c r="B19" s="32"/>
      <c r="C19" s="30"/>
      <c r="D19" s="30"/>
      <c r="E19" s="30"/>
      <c r="F19" s="84"/>
      <c r="G19" s="84"/>
      <c r="H19" s="84"/>
      <c r="I19" s="84"/>
      <c r="J19" s="84"/>
      <c r="K19" s="84"/>
      <c r="L19" s="84"/>
      <c r="M19" s="84"/>
      <c r="N19" s="84"/>
      <c r="O19" s="84"/>
      <c r="P19" s="84"/>
      <c r="Q19" s="84"/>
      <c r="R19" s="84"/>
      <c r="S19" s="84"/>
      <c r="T19" s="84"/>
      <c r="U19" s="84"/>
      <c r="V19" s="84"/>
      <c r="W19" s="84"/>
      <c r="X19" s="84"/>
      <c r="Y19" s="84"/>
      <c r="Z19" s="84"/>
      <c r="AA19" s="23"/>
      <c r="AB19" s="23"/>
      <c r="AC19" s="23"/>
      <c r="AD19" s="23"/>
      <c r="AE19" s="23"/>
      <c r="AF19" s="23"/>
      <c r="AG19" s="23"/>
      <c r="AH19" s="23"/>
      <c r="AI19" s="23"/>
      <c r="AJ19" s="23"/>
    </row>
    <row r="20" spans="1:36" x14ac:dyDescent="0.3">
      <c r="A20" s="82"/>
      <c r="B20" s="82"/>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36" x14ac:dyDescent="0.3">
      <c r="A21" s="85"/>
      <c r="B21" s="85"/>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36" x14ac:dyDescent="0.3">
      <c r="A22" s="68"/>
      <c r="B22" s="68"/>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36" x14ac:dyDescent="0.3">
      <c r="A23" s="68"/>
      <c r="B23" s="68"/>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36" x14ac:dyDescent="0.3">
      <c r="A24" s="68"/>
      <c r="B24" s="68"/>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36" x14ac:dyDescent="0.3">
      <c r="A25" s="68"/>
      <c r="B25" s="68"/>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36" x14ac:dyDescent="0.3">
      <c r="A26" s="68"/>
      <c r="B26" s="68"/>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36" x14ac:dyDescent="0.3">
      <c r="A27" s="86"/>
      <c r="B27" s="86"/>
      <c r="C27" s="30"/>
      <c r="D27" s="30"/>
      <c r="E27" s="30"/>
      <c r="F27" s="30"/>
      <c r="G27" s="30"/>
      <c r="H27" s="30"/>
      <c r="I27" s="30"/>
      <c r="J27" s="86"/>
      <c r="K27" s="30"/>
      <c r="L27" s="30"/>
      <c r="M27" s="30"/>
      <c r="N27" s="30"/>
      <c r="O27" s="30"/>
      <c r="P27" s="30"/>
      <c r="Q27" s="30"/>
      <c r="R27" s="30"/>
      <c r="S27" s="30"/>
      <c r="T27" s="30"/>
      <c r="U27" s="30"/>
      <c r="V27" s="30"/>
      <c r="W27" s="30"/>
      <c r="X27" s="30"/>
      <c r="Y27" s="30"/>
      <c r="Z27" s="30"/>
    </row>
    <row r="28" spans="1:36" x14ac:dyDescent="0.3">
      <c r="A28" s="87"/>
      <c r="B28" s="87"/>
      <c r="C28" s="30"/>
      <c r="D28" s="30"/>
      <c r="E28" s="30"/>
      <c r="F28" s="30"/>
      <c r="G28" s="30"/>
      <c r="H28" s="30"/>
      <c r="I28" s="30"/>
      <c r="J28" s="86"/>
      <c r="K28" s="30"/>
      <c r="L28" s="30"/>
      <c r="M28" s="30"/>
      <c r="N28" s="30"/>
      <c r="O28" s="30"/>
      <c r="P28" s="30"/>
      <c r="Q28" s="30"/>
      <c r="R28" s="30"/>
      <c r="S28" s="30"/>
      <c r="T28" s="30"/>
      <c r="U28" s="30"/>
      <c r="V28" s="30"/>
      <c r="W28" s="30"/>
      <c r="X28" s="30"/>
      <c r="Y28" s="30"/>
      <c r="Z28" s="30"/>
    </row>
    <row r="29" spans="1:36" x14ac:dyDescent="0.3">
      <c r="A29" s="68"/>
      <c r="B29" s="68"/>
      <c r="C29" s="30"/>
      <c r="D29" s="30"/>
      <c r="E29" s="30"/>
      <c r="F29" s="88"/>
      <c r="G29" s="88"/>
      <c r="H29" s="88"/>
      <c r="I29" s="88"/>
      <c r="J29" s="88"/>
      <c r="K29" s="88"/>
      <c r="L29" s="88"/>
      <c r="M29" s="88"/>
      <c r="N29" s="88"/>
      <c r="O29" s="88"/>
      <c r="P29" s="88"/>
      <c r="Q29" s="88"/>
      <c r="R29" s="88"/>
      <c r="S29" s="88"/>
      <c r="T29" s="88"/>
      <c r="U29" s="88"/>
      <c r="V29" s="88"/>
      <c r="W29" s="88"/>
      <c r="X29" s="88"/>
      <c r="Y29" s="88"/>
      <c r="Z29" s="88"/>
      <c r="AA29" s="16"/>
      <c r="AB29" s="16"/>
      <c r="AC29" s="16"/>
      <c r="AD29" s="16"/>
      <c r="AE29" s="16"/>
      <c r="AF29" s="16"/>
      <c r="AG29" s="16"/>
      <c r="AH29" s="16"/>
      <c r="AI29" s="16"/>
      <c r="AJ29" s="16"/>
    </row>
    <row r="30" spans="1:36" x14ac:dyDescent="0.3">
      <c r="A30" s="68"/>
      <c r="B30" s="68"/>
      <c r="C30" s="30"/>
      <c r="D30" s="30"/>
      <c r="E30" s="30"/>
      <c r="F30" s="88"/>
      <c r="G30" s="88"/>
      <c r="H30" s="88"/>
      <c r="I30" s="88"/>
      <c r="J30" s="88"/>
      <c r="K30" s="88"/>
      <c r="L30" s="88"/>
      <c r="M30" s="88"/>
      <c r="N30" s="88"/>
      <c r="O30" s="88"/>
      <c r="P30" s="88"/>
      <c r="Q30" s="88"/>
      <c r="R30" s="88"/>
      <c r="S30" s="88"/>
      <c r="T30" s="88"/>
      <c r="U30" s="88"/>
      <c r="V30" s="88"/>
      <c r="W30" s="88"/>
      <c r="X30" s="88"/>
      <c r="Y30" s="88"/>
      <c r="Z30" s="88"/>
      <c r="AA30" s="16"/>
      <c r="AB30" s="16"/>
      <c r="AC30" s="16"/>
      <c r="AD30" s="16"/>
      <c r="AE30" s="16"/>
      <c r="AF30" s="16"/>
      <c r="AG30" s="16"/>
      <c r="AH30" s="16"/>
      <c r="AI30" s="16"/>
      <c r="AJ30" s="16"/>
    </row>
    <row r="31" spans="1:36" x14ac:dyDescent="0.3">
      <c r="A31" s="68"/>
      <c r="B31" s="68"/>
      <c r="C31" s="30"/>
      <c r="D31" s="30"/>
      <c r="E31" s="30"/>
      <c r="F31" s="88"/>
      <c r="G31" s="88"/>
      <c r="H31" s="88"/>
      <c r="I31" s="88"/>
      <c r="J31" s="88"/>
      <c r="K31" s="88"/>
      <c r="L31" s="88"/>
      <c r="M31" s="88"/>
      <c r="N31" s="88"/>
      <c r="O31" s="88"/>
      <c r="P31" s="88"/>
      <c r="Q31" s="88"/>
      <c r="R31" s="88"/>
      <c r="S31" s="88"/>
      <c r="T31" s="88"/>
      <c r="U31" s="88"/>
      <c r="V31" s="88"/>
      <c r="W31" s="88"/>
      <c r="X31" s="88"/>
      <c r="Y31" s="88"/>
      <c r="Z31" s="88"/>
      <c r="AA31" s="16"/>
      <c r="AB31" s="16"/>
      <c r="AC31" s="16"/>
      <c r="AD31" s="16"/>
      <c r="AE31" s="16"/>
      <c r="AF31" s="16"/>
      <c r="AG31" s="16"/>
      <c r="AH31" s="16"/>
      <c r="AI31" s="16"/>
      <c r="AJ31" s="16"/>
    </row>
    <row r="32" spans="1:36" x14ac:dyDescent="0.3">
      <c r="A32" s="68"/>
      <c r="B32" s="68"/>
      <c r="C32" s="30"/>
      <c r="D32" s="30"/>
      <c r="E32" s="30"/>
      <c r="F32" s="88"/>
      <c r="G32" s="88"/>
      <c r="H32" s="88"/>
      <c r="I32" s="88"/>
      <c r="J32" s="88"/>
      <c r="K32" s="88"/>
      <c r="L32" s="88"/>
      <c r="M32" s="88"/>
      <c r="N32" s="88"/>
      <c r="O32" s="88"/>
      <c r="P32" s="88"/>
      <c r="Q32" s="88"/>
      <c r="R32" s="88"/>
      <c r="S32" s="88"/>
      <c r="T32" s="88"/>
      <c r="U32" s="88"/>
      <c r="V32" s="88"/>
      <c r="W32" s="88"/>
      <c r="X32" s="88"/>
      <c r="Y32" s="88"/>
      <c r="Z32" s="88"/>
      <c r="AA32" s="16"/>
      <c r="AB32" s="16"/>
      <c r="AC32" s="16"/>
      <c r="AD32" s="16"/>
      <c r="AE32" s="16"/>
      <c r="AF32" s="16"/>
      <c r="AG32" s="16"/>
      <c r="AH32" s="16"/>
      <c r="AI32" s="16"/>
      <c r="AJ32" s="16"/>
    </row>
    <row r="33" spans="1:36" x14ac:dyDescent="0.3">
      <c r="A33" s="68"/>
      <c r="B33" s="68"/>
      <c r="C33" s="30"/>
      <c r="D33" s="30"/>
      <c r="E33" s="30"/>
      <c r="F33" s="88"/>
      <c r="G33" s="88"/>
      <c r="H33" s="88"/>
      <c r="I33" s="88"/>
      <c r="J33" s="88"/>
      <c r="K33" s="88"/>
      <c r="L33" s="88"/>
      <c r="M33" s="88"/>
      <c r="N33" s="88"/>
      <c r="O33" s="88"/>
      <c r="P33" s="88"/>
      <c r="Q33" s="88"/>
      <c r="R33" s="88"/>
      <c r="S33" s="88"/>
      <c r="T33" s="88"/>
      <c r="U33" s="88"/>
      <c r="V33" s="88"/>
      <c r="W33" s="88"/>
      <c r="X33" s="88"/>
      <c r="Y33" s="88"/>
      <c r="Z33" s="88"/>
      <c r="AA33" s="16"/>
      <c r="AB33" s="16"/>
      <c r="AC33" s="16"/>
      <c r="AD33" s="16"/>
      <c r="AE33" s="16"/>
      <c r="AF33" s="16"/>
      <c r="AG33" s="16"/>
      <c r="AH33" s="16"/>
      <c r="AI33" s="16"/>
      <c r="AJ33" s="16"/>
    </row>
    <row r="34" spans="1:36" x14ac:dyDescent="0.3">
      <c r="A34" s="89"/>
      <c r="B34" s="89"/>
      <c r="C34" s="30"/>
      <c r="D34" s="30"/>
      <c r="E34" s="30"/>
      <c r="F34" s="83"/>
      <c r="G34" s="83"/>
      <c r="H34" s="83"/>
      <c r="I34" s="83"/>
      <c r="J34" s="83"/>
      <c r="K34" s="83"/>
      <c r="L34" s="83"/>
      <c r="M34" s="83"/>
      <c r="N34" s="83"/>
      <c r="O34" s="83"/>
      <c r="P34" s="83"/>
      <c r="Q34" s="83"/>
      <c r="R34" s="83"/>
      <c r="S34" s="83"/>
      <c r="T34" s="83"/>
      <c r="U34" s="83"/>
      <c r="V34" s="83"/>
      <c r="W34" s="83"/>
      <c r="X34" s="83"/>
      <c r="Y34" s="83"/>
      <c r="Z34" s="83"/>
      <c r="AA34" s="20"/>
      <c r="AB34" s="20"/>
      <c r="AC34" s="20"/>
      <c r="AD34" s="20"/>
      <c r="AE34" s="20"/>
      <c r="AF34" s="20"/>
      <c r="AG34" s="20"/>
      <c r="AH34" s="20"/>
      <c r="AI34" s="20"/>
      <c r="AJ34" s="20"/>
    </row>
    <row r="35" spans="1:36" x14ac:dyDescent="0.3">
      <c r="A35" s="34"/>
      <c r="B35" s="32"/>
      <c r="C35" s="30"/>
      <c r="D35" s="30"/>
      <c r="E35" s="30"/>
      <c r="F35" s="84"/>
      <c r="G35" s="84"/>
      <c r="H35" s="84"/>
      <c r="I35" s="84"/>
      <c r="J35" s="84"/>
      <c r="K35" s="84"/>
      <c r="L35" s="84"/>
      <c r="M35" s="84"/>
      <c r="N35" s="84"/>
      <c r="O35" s="84"/>
      <c r="P35" s="84"/>
      <c r="Q35" s="84"/>
      <c r="R35" s="84"/>
      <c r="S35" s="84"/>
      <c r="T35" s="84"/>
      <c r="U35" s="84"/>
      <c r="V35" s="84"/>
      <c r="W35" s="84"/>
      <c r="X35" s="84"/>
      <c r="Y35" s="84"/>
      <c r="Z35" s="84"/>
      <c r="AA35" s="23"/>
      <c r="AB35" s="23"/>
      <c r="AC35" s="23"/>
      <c r="AD35" s="23"/>
      <c r="AE35" s="23"/>
      <c r="AF35" s="23"/>
      <c r="AG35" s="23"/>
      <c r="AH35" s="23"/>
      <c r="AI35" s="23"/>
      <c r="AJ35" s="23"/>
    </row>
    <row r="36" spans="1:36" x14ac:dyDescent="0.3">
      <c r="A36" s="90"/>
      <c r="B36" s="90"/>
      <c r="C36" s="30"/>
      <c r="D36" s="30"/>
      <c r="E36" s="30"/>
      <c r="F36" s="30"/>
      <c r="G36" s="30"/>
      <c r="H36" s="31"/>
      <c r="I36" s="31"/>
      <c r="J36" s="31"/>
      <c r="K36" s="31"/>
      <c r="L36" s="31"/>
      <c r="M36" s="31"/>
      <c r="N36" s="31"/>
      <c r="O36" s="31"/>
      <c r="P36" s="31"/>
      <c r="Q36" s="31"/>
      <c r="R36" s="31"/>
      <c r="S36" s="31"/>
      <c r="T36" s="31"/>
      <c r="U36" s="31"/>
      <c r="V36" s="31"/>
      <c r="W36" s="31"/>
      <c r="X36" s="31"/>
      <c r="Y36" s="31"/>
      <c r="Z36" s="31"/>
      <c r="AA36" s="4"/>
      <c r="AB36" s="4"/>
      <c r="AC36" s="4"/>
      <c r="AD36" s="4"/>
      <c r="AE36" s="4"/>
      <c r="AF36" s="4"/>
      <c r="AG36" s="4"/>
      <c r="AH36" s="4"/>
      <c r="AI36" s="4"/>
      <c r="AJ36" s="4"/>
    </row>
    <row r="37" spans="1:36" x14ac:dyDescent="0.3">
      <c r="A37" s="89"/>
      <c r="B37" s="89"/>
      <c r="C37" s="30"/>
      <c r="D37" s="30"/>
      <c r="E37" s="30"/>
      <c r="F37" s="31"/>
      <c r="G37" s="31"/>
      <c r="H37" s="31"/>
      <c r="I37" s="31"/>
      <c r="J37" s="31"/>
      <c r="K37" s="31"/>
      <c r="L37" s="31"/>
      <c r="M37" s="31"/>
      <c r="N37" s="31"/>
      <c r="O37" s="31"/>
      <c r="P37" s="31"/>
      <c r="Q37" s="31"/>
      <c r="R37" s="31"/>
      <c r="S37" s="31"/>
      <c r="T37" s="31"/>
      <c r="U37" s="31"/>
      <c r="V37" s="31"/>
      <c r="W37" s="31"/>
      <c r="X37" s="31"/>
      <c r="Y37" s="31"/>
      <c r="Z37" s="31"/>
      <c r="AA37" s="4"/>
      <c r="AB37" s="4"/>
      <c r="AC37" s="4"/>
      <c r="AD37" s="4"/>
      <c r="AE37" s="4"/>
      <c r="AF37" s="4"/>
      <c r="AG37" s="4"/>
      <c r="AH37" s="4"/>
      <c r="AI37" s="4"/>
      <c r="AJ37" s="4"/>
    </row>
    <row r="38" spans="1:36" x14ac:dyDescent="0.3">
      <c r="A38" s="89"/>
      <c r="B38" s="89"/>
      <c r="C38" s="30"/>
      <c r="D38" s="30"/>
      <c r="E38" s="30"/>
      <c r="F38" s="83"/>
      <c r="G38" s="83"/>
      <c r="H38" s="83"/>
      <c r="I38" s="83"/>
      <c r="J38" s="83"/>
      <c r="K38" s="83"/>
      <c r="L38" s="83"/>
      <c r="M38" s="83"/>
      <c r="N38" s="83"/>
      <c r="O38" s="83"/>
      <c r="P38" s="83"/>
      <c r="Q38" s="83"/>
      <c r="R38" s="83"/>
      <c r="S38" s="83"/>
      <c r="T38" s="83"/>
      <c r="U38" s="83"/>
      <c r="V38" s="83"/>
      <c r="W38" s="83"/>
      <c r="X38" s="83"/>
      <c r="Y38" s="83"/>
      <c r="Z38" s="83"/>
      <c r="AA38" s="20"/>
      <c r="AB38" s="20"/>
      <c r="AC38" s="20"/>
      <c r="AD38" s="20"/>
      <c r="AE38" s="20"/>
      <c r="AF38" s="20"/>
      <c r="AG38" s="20"/>
      <c r="AH38" s="20"/>
      <c r="AI38" s="20"/>
      <c r="AJ38" s="20"/>
    </row>
    <row r="39" spans="1:36" x14ac:dyDescent="0.3">
      <c r="A39" s="89"/>
      <c r="B39" s="32"/>
      <c r="C39" s="30"/>
      <c r="D39" s="30"/>
      <c r="E39" s="30"/>
      <c r="F39" s="84"/>
      <c r="G39" s="84"/>
      <c r="H39" s="84"/>
      <c r="I39" s="84"/>
      <c r="J39" s="84"/>
      <c r="K39" s="84"/>
      <c r="L39" s="84"/>
      <c r="M39" s="84"/>
      <c r="N39" s="84"/>
      <c r="O39" s="84"/>
      <c r="P39" s="84"/>
      <c r="Q39" s="84"/>
      <c r="R39" s="84"/>
      <c r="S39" s="84"/>
      <c r="T39" s="84"/>
      <c r="U39" s="84"/>
      <c r="V39" s="84"/>
      <c r="W39" s="84"/>
      <c r="X39" s="84"/>
      <c r="Y39" s="84"/>
      <c r="Z39" s="84"/>
      <c r="AA39" s="23"/>
      <c r="AB39" s="23"/>
      <c r="AC39" s="23"/>
      <c r="AD39" s="23"/>
      <c r="AE39" s="23"/>
      <c r="AF39" s="23"/>
      <c r="AG39" s="23"/>
      <c r="AH39" s="23"/>
      <c r="AI39" s="23"/>
      <c r="AJ39" s="23"/>
    </row>
    <row r="40" spans="1:36" x14ac:dyDescent="0.3">
      <c r="A40" s="90"/>
      <c r="B40" s="90"/>
      <c r="C40" s="30"/>
      <c r="D40" s="30"/>
      <c r="E40" s="30"/>
      <c r="F40" s="30"/>
      <c r="G40" s="30"/>
      <c r="H40" s="30"/>
      <c r="I40" s="30"/>
      <c r="J40" s="30"/>
      <c r="K40" s="30"/>
      <c r="L40" s="30"/>
      <c r="M40" s="30"/>
      <c r="N40" s="30"/>
      <c r="O40" s="30"/>
      <c r="P40" s="30"/>
      <c r="Q40" s="31"/>
      <c r="R40" s="30"/>
      <c r="S40" s="30"/>
      <c r="T40" s="30"/>
      <c r="U40" s="30"/>
      <c r="V40" s="30"/>
      <c r="W40" s="30"/>
      <c r="X40" s="30"/>
      <c r="Y40" s="30"/>
      <c r="Z40" s="30"/>
    </row>
    <row r="41" spans="1:36" x14ac:dyDescent="0.3">
      <c r="A41" s="90"/>
      <c r="B41" s="9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36" x14ac:dyDescent="0.3">
      <c r="A42" s="90"/>
      <c r="B42" s="9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36" x14ac:dyDescent="0.3">
      <c r="A43" s="90"/>
      <c r="B43" s="9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36" x14ac:dyDescent="0.3">
      <c r="A44" s="90"/>
      <c r="B44" s="90"/>
      <c r="C44" s="30"/>
      <c r="D44" s="83"/>
      <c r="E44" s="83"/>
      <c r="F44" s="83"/>
      <c r="G44" s="83"/>
      <c r="H44" s="83"/>
      <c r="I44" s="83"/>
      <c r="J44" s="83"/>
      <c r="K44" s="83"/>
      <c r="L44" s="83"/>
      <c r="M44" s="83"/>
      <c r="N44" s="83"/>
      <c r="O44" s="83"/>
      <c r="P44" s="83"/>
      <c r="Q44" s="83"/>
      <c r="R44" s="83"/>
      <c r="S44" s="83"/>
      <c r="T44" s="83"/>
      <c r="U44" s="83"/>
      <c r="V44" s="83"/>
      <c r="W44" s="83"/>
      <c r="X44" s="83"/>
      <c r="Y44" s="83"/>
      <c r="Z44" s="83"/>
      <c r="AA44" s="20"/>
      <c r="AB44" s="20"/>
      <c r="AC44" s="20"/>
      <c r="AD44" s="20"/>
      <c r="AE44" s="20"/>
      <c r="AF44" s="20"/>
      <c r="AG44" s="20"/>
      <c r="AH44" s="20"/>
      <c r="AI44" s="20"/>
      <c r="AJ44" s="20"/>
    </row>
    <row r="45" spans="1:36" x14ac:dyDescent="0.3">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52" spans="1:2" x14ac:dyDescent="0.3">
      <c r="A52" s="6" t="s">
        <v>7</v>
      </c>
      <c r="B52" s="6"/>
    </row>
    <row r="54" spans="1:2" x14ac:dyDescent="0.3">
      <c r="A54" s="6" t="s">
        <v>28</v>
      </c>
      <c r="B54" s="6"/>
    </row>
  </sheetData>
  <hyperlinks>
    <hyperlink ref="A52" r:id="rId1" display="https://www.bts.gov/content/average-freight-revenue-ton-mile" xr:uid="{AE5443C4-A880-4F94-A8E7-DFAE33F87981}"/>
    <hyperlink ref="A54" r:id="rId2" xr:uid="{1DC58935-F043-41E2-AB19-2DD4411E3BBB}"/>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6051-F2CD-40C4-8170-27E5BBD05F83}">
  <sheetPr>
    <tabColor theme="7"/>
  </sheetPr>
  <dimension ref="A1:I54"/>
  <sheetViews>
    <sheetView topLeftCell="A40" workbookViewId="0">
      <selection activeCell="G62" sqref="G62"/>
    </sheetView>
  </sheetViews>
  <sheetFormatPr defaultRowHeight="14.4" x14ac:dyDescent="0.3"/>
  <cols>
    <col min="1" max="1" width="35.77734375" customWidth="1"/>
    <col min="2" max="13" width="15.77734375" customWidth="1"/>
  </cols>
  <sheetData>
    <row r="1" spans="1:3" ht="18" x14ac:dyDescent="0.35">
      <c r="A1" s="19" t="s">
        <v>119</v>
      </c>
    </row>
    <row r="4" spans="1:3" x14ac:dyDescent="0.3">
      <c r="A4" s="1" t="s">
        <v>32</v>
      </c>
    </row>
    <row r="5" spans="1:3" x14ac:dyDescent="0.3">
      <c r="A5" s="2" t="s">
        <v>33</v>
      </c>
      <c r="B5" s="4">
        <f>408/5</f>
        <v>81.599999999999994</v>
      </c>
      <c r="C5" s="4"/>
    </row>
    <row r="6" spans="1:3" x14ac:dyDescent="0.3">
      <c r="A6" s="2" t="s">
        <v>34</v>
      </c>
      <c r="B6" s="4">
        <f>201/5</f>
        <v>40.200000000000003</v>
      </c>
      <c r="C6" s="4"/>
    </row>
    <row r="7" spans="1:3" x14ac:dyDescent="0.3">
      <c r="A7" s="2" t="s">
        <v>35</v>
      </c>
      <c r="B7" s="4">
        <f>134/5</f>
        <v>26.8</v>
      </c>
      <c r="C7" s="4"/>
    </row>
    <row r="8" spans="1:3" x14ac:dyDescent="0.3">
      <c r="A8" s="2" t="s">
        <v>36</v>
      </c>
      <c r="B8" s="4">
        <f>25/5</f>
        <v>5</v>
      </c>
      <c r="C8" s="4"/>
    </row>
    <row r="9" spans="1:3" x14ac:dyDescent="0.3">
      <c r="A9" s="2" t="s">
        <v>37</v>
      </c>
      <c r="B9" s="4">
        <f>5/5</f>
        <v>1</v>
      </c>
      <c r="C9" s="4"/>
    </row>
    <row r="12" spans="1:3" x14ac:dyDescent="0.3">
      <c r="A12" s="35" t="s">
        <v>38</v>
      </c>
    </row>
    <row r="13" spans="1:3" x14ac:dyDescent="0.3">
      <c r="A13" s="2" t="s">
        <v>39</v>
      </c>
      <c r="B13" s="36">
        <f>'[1]VMT data'!F17</f>
        <v>29739324.000000004</v>
      </c>
      <c r="C13" s="36"/>
    </row>
    <row r="14" spans="1:3" x14ac:dyDescent="0.3">
      <c r="A14" s="2" t="s">
        <v>40</v>
      </c>
      <c r="B14" s="36">
        <f>'[1]VMT data'!F31</f>
        <v>28454998.499999996</v>
      </c>
      <c r="C14" s="36"/>
    </row>
    <row r="15" spans="1:3" x14ac:dyDescent="0.3">
      <c r="A15" s="2" t="s">
        <v>41</v>
      </c>
      <c r="B15" s="36">
        <f>'[1]VMT data'!F45</f>
        <v>15673172.999999998</v>
      </c>
      <c r="C15" s="36"/>
    </row>
    <row r="16" spans="1:3" x14ac:dyDescent="0.3">
      <c r="A16" s="37" t="s">
        <v>42</v>
      </c>
      <c r="B16" s="38">
        <f>SUM(B13:B15)</f>
        <v>73867495.5</v>
      </c>
      <c r="C16" s="38"/>
    </row>
    <row r="17" spans="1:3" x14ac:dyDescent="0.3">
      <c r="A17" s="37"/>
      <c r="B17" s="39"/>
      <c r="C17" s="39"/>
    </row>
    <row r="18" spans="1:3" x14ac:dyDescent="0.3">
      <c r="A18" s="35" t="s">
        <v>43</v>
      </c>
      <c r="B18" s="39"/>
      <c r="C18" s="39"/>
    </row>
    <row r="19" spans="1:3" x14ac:dyDescent="0.3">
      <c r="A19" s="2" t="s">
        <v>39</v>
      </c>
      <c r="B19" s="36">
        <f>'[1]VMT data'!G17</f>
        <v>42872224.75</v>
      </c>
      <c r="C19" s="36"/>
    </row>
    <row r="20" spans="1:3" x14ac:dyDescent="0.3">
      <c r="A20" s="2" t="s">
        <v>40</v>
      </c>
      <c r="B20" s="36">
        <f>'[1]VMT data'!G31</f>
        <v>38123063.75</v>
      </c>
      <c r="C20" s="36"/>
    </row>
    <row r="21" spans="1:3" x14ac:dyDescent="0.3">
      <c r="A21" s="2" t="s">
        <v>41</v>
      </c>
      <c r="B21" s="36">
        <f>'[1]VMT data'!G45</f>
        <v>21149030.75</v>
      </c>
      <c r="C21" s="36"/>
    </row>
    <row r="22" spans="1:3" x14ac:dyDescent="0.3">
      <c r="A22" s="37" t="s">
        <v>42</v>
      </c>
      <c r="B22" s="40">
        <f>SUM(B19:B21)</f>
        <v>102144319.25</v>
      </c>
      <c r="C22" s="40"/>
    </row>
    <row r="24" spans="1:3" ht="30" customHeight="1" x14ac:dyDescent="0.3">
      <c r="A24" s="41" t="s">
        <v>44</v>
      </c>
    </row>
    <row r="25" spans="1:3" x14ac:dyDescent="0.3">
      <c r="A25" s="2" t="s">
        <v>33</v>
      </c>
      <c r="B25" s="42">
        <f>B5/($B$16/1000000)</f>
        <v>1.1046807455384755</v>
      </c>
      <c r="C25" s="42"/>
    </row>
    <row r="26" spans="1:3" x14ac:dyDescent="0.3">
      <c r="A26" s="2" t="s">
        <v>34</v>
      </c>
      <c r="B26" s="42">
        <f t="shared" ref="B26:B29" si="0">B6/($B$16/1000000)</f>
        <v>0.54421772022851378</v>
      </c>
      <c r="C26" s="42"/>
    </row>
    <row r="27" spans="1:3" x14ac:dyDescent="0.3">
      <c r="A27" s="2" t="s">
        <v>35</v>
      </c>
      <c r="B27" s="42">
        <f t="shared" si="0"/>
        <v>0.36281181348567582</v>
      </c>
      <c r="C27" s="42"/>
    </row>
    <row r="28" spans="1:3" x14ac:dyDescent="0.3">
      <c r="A28" s="2" t="s">
        <v>36</v>
      </c>
      <c r="B28" s="42">
        <f t="shared" si="0"/>
        <v>6.768877117270071E-2</v>
      </c>
      <c r="C28" s="42"/>
    </row>
    <row r="29" spans="1:3" x14ac:dyDescent="0.3">
      <c r="A29" s="2" t="s">
        <v>37</v>
      </c>
      <c r="B29" s="42">
        <f t="shared" si="0"/>
        <v>1.3537754234540143E-2</v>
      </c>
      <c r="C29" s="42"/>
    </row>
    <row r="30" spans="1:3" x14ac:dyDescent="0.3">
      <c r="A30" s="2"/>
      <c r="B30" s="42"/>
      <c r="C30" s="42"/>
    </row>
    <row r="32" spans="1:3" ht="19.95" customHeight="1" x14ac:dyDescent="0.3">
      <c r="A32" s="43" t="s">
        <v>45</v>
      </c>
    </row>
    <row r="33" spans="1:9" x14ac:dyDescent="0.3">
      <c r="C33" s="44" t="s">
        <v>46</v>
      </c>
      <c r="D33" s="44">
        <v>2025</v>
      </c>
      <c r="E33" s="44">
        <v>2030</v>
      </c>
      <c r="F33" s="44">
        <v>2035</v>
      </c>
      <c r="G33" s="44">
        <v>2040</v>
      </c>
      <c r="H33" s="44">
        <v>2045</v>
      </c>
      <c r="I33" s="44">
        <v>2050</v>
      </c>
    </row>
    <row r="34" spans="1:9" x14ac:dyDescent="0.3">
      <c r="A34" s="2" t="s">
        <v>33</v>
      </c>
      <c r="C34" s="45">
        <f>B5</f>
        <v>81.599999999999994</v>
      </c>
      <c r="D34" s="46">
        <f>C34*($B$40^11)</f>
        <v>94.668510835193075</v>
      </c>
      <c r="E34" s="46">
        <f>D34*($B$40^5)</f>
        <v>101.28163915736316</v>
      </c>
      <c r="F34" s="46">
        <f>E34*($B$40^5)</f>
        <v>108.35673171473309</v>
      </c>
      <c r="G34" s="46">
        <f>B25*($B$22/1000000)</f>
        <v>112.83686274161005</v>
      </c>
      <c r="H34" s="46">
        <f t="shared" ref="H34:I38" si="1">G34*($B$40^5)</f>
        <v>120.71915270474696</v>
      </c>
      <c r="I34" s="46">
        <f t="shared" si="1"/>
        <v>129.15206498716302</v>
      </c>
    </row>
    <row r="35" spans="1:9" x14ac:dyDescent="0.3">
      <c r="A35" s="2" t="s">
        <v>34</v>
      </c>
      <c r="C35" s="45">
        <f t="shared" ref="C35:C38" si="2">B6</f>
        <v>40.200000000000003</v>
      </c>
      <c r="D35" s="46">
        <f t="shared" ref="D35:D38" si="3">C35*($B$40^11)</f>
        <v>46.638163426161299</v>
      </c>
      <c r="E35" s="46">
        <f t="shared" ref="E35:F38" si="4">D35*($B$40^5)</f>
        <v>49.896101643700973</v>
      </c>
      <c r="F35" s="46">
        <f t="shared" si="4"/>
        <v>53.38162518299351</v>
      </c>
      <c r="G35" s="46">
        <f t="shared" ref="G35:G38" si="5">B26*($B$22/1000000)</f>
        <v>55.588748556528493</v>
      </c>
      <c r="H35" s="46">
        <f t="shared" si="1"/>
        <v>59.471935523662118</v>
      </c>
      <c r="I35" s="46">
        <f t="shared" si="1"/>
        <v>63.62638495691121</v>
      </c>
    </row>
    <row r="36" spans="1:9" x14ac:dyDescent="0.3">
      <c r="A36" s="2" t="s">
        <v>35</v>
      </c>
      <c r="C36" s="45">
        <f t="shared" si="2"/>
        <v>26.8</v>
      </c>
      <c r="D36" s="46">
        <f t="shared" si="3"/>
        <v>31.0921089507742</v>
      </c>
      <c r="E36" s="46">
        <f t="shared" si="4"/>
        <v>33.264067762467313</v>
      </c>
      <c r="F36" s="46">
        <f t="shared" si="4"/>
        <v>35.587750121995676</v>
      </c>
      <c r="G36" s="46">
        <f t="shared" si="5"/>
        <v>37.059165704352324</v>
      </c>
      <c r="H36" s="46">
        <f t="shared" si="1"/>
        <v>39.647957015774736</v>
      </c>
      <c r="I36" s="46">
        <f t="shared" si="1"/>
        <v>42.417589971274126</v>
      </c>
    </row>
    <row r="37" spans="1:9" x14ac:dyDescent="0.3">
      <c r="A37" s="2" t="s">
        <v>36</v>
      </c>
      <c r="C37" s="45">
        <f t="shared" si="2"/>
        <v>5</v>
      </c>
      <c r="D37" s="46">
        <f t="shared" si="3"/>
        <v>5.8007665952936938</v>
      </c>
      <c r="E37" s="46">
        <f t="shared" si="4"/>
        <v>6.2059827915050958</v>
      </c>
      <c r="F37" s="46">
        <f t="shared" si="4"/>
        <v>6.6395056197753117</v>
      </c>
      <c r="G37" s="46">
        <f t="shared" si="5"/>
        <v>6.9140234523045381</v>
      </c>
      <c r="H37" s="46">
        <f t="shared" si="1"/>
        <v>7.3970069059281229</v>
      </c>
      <c r="I37" s="46">
        <f t="shared" si="1"/>
        <v>7.9137294722526361</v>
      </c>
    </row>
    <row r="38" spans="1:9" x14ac:dyDescent="0.3">
      <c r="A38" s="2" t="s">
        <v>37</v>
      </c>
      <c r="C38" s="45">
        <f t="shared" si="2"/>
        <v>1</v>
      </c>
      <c r="D38" s="46">
        <f t="shared" si="3"/>
        <v>1.1601533190587388</v>
      </c>
      <c r="E38" s="46">
        <f t="shared" si="4"/>
        <v>1.2411965583010192</v>
      </c>
      <c r="F38" s="46">
        <f t="shared" si="4"/>
        <v>1.3279011239550624</v>
      </c>
      <c r="G38" s="46">
        <f t="shared" si="5"/>
        <v>1.3828046904609077</v>
      </c>
      <c r="H38" s="46">
        <f t="shared" si="1"/>
        <v>1.4794013811856248</v>
      </c>
      <c r="I38" s="46">
        <f t="shared" si="1"/>
        <v>1.5827458944505275</v>
      </c>
    </row>
    <row r="40" spans="1:9" x14ac:dyDescent="0.3">
      <c r="A40" s="2" t="s">
        <v>47</v>
      </c>
      <c r="B40" s="47">
        <f>(B22/B16)^(1/24)</f>
        <v>1.0135963434643167</v>
      </c>
    </row>
    <row r="42" spans="1:9" ht="15" thickBot="1" x14ac:dyDescent="0.35"/>
    <row r="43" spans="1:9" x14ac:dyDescent="0.3">
      <c r="A43" s="48" t="s">
        <v>48</v>
      </c>
      <c r="B43" s="49"/>
      <c r="C43" s="49"/>
      <c r="D43" s="50">
        <v>2025</v>
      </c>
      <c r="E43" s="50">
        <v>2030</v>
      </c>
      <c r="F43" s="50">
        <v>2035</v>
      </c>
      <c r="G43" s="50">
        <v>2040</v>
      </c>
      <c r="H43" s="50">
        <v>2045</v>
      </c>
      <c r="I43" s="51">
        <v>2050</v>
      </c>
    </row>
    <row r="44" spans="1:9" x14ac:dyDescent="0.3">
      <c r="A44" s="52" t="s">
        <v>49</v>
      </c>
      <c r="B44" s="53">
        <v>0.45</v>
      </c>
      <c r="C44" s="54" t="s">
        <v>50</v>
      </c>
      <c r="I44" s="55"/>
    </row>
    <row r="45" spans="1:9" x14ac:dyDescent="0.3">
      <c r="A45" s="52" t="s">
        <v>33</v>
      </c>
      <c r="C45" s="92">
        <f>(I45+D45)/2*25</f>
        <v>1258.9907390007531</v>
      </c>
      <c r="D45" s="56">
        <f>D34*$B$44</f>
        <v>42.600829875836887</v>
      </c>
      <c r="E45" s="56">
        <f t="shared" ref="E45:I45" si="6">E34*$B$44</f>
        <v>45.576737620813425</v>
      </c>
      <c r="F45" s="56">
        <f t="shared" si="6"/>
        <v>48.760529271629892</v>
      </c>
      <c r="G45" s="56">
        <f t="shared" si="6"/>
        <v>50.776588233724524</v>
      </c>
      <c r="H45" s="56">
        <f t="shared" si="6"/>
        <v>54.323618717136135</v>
      </c>
      <c r="I45" s="57">
        <f t="shared" si="6"/>
        <v>58.118429244223357</v>
      </c>
    </row>
    <row r="46" spans="1:9" x14ac:dyDescent="0.3">
      <c r="A46" s="52" t="s">
        <v>34</v>
      </c>
      <c r="C46" s="92">
        <f t="shared" ref="C46:C49" si="7">(I46+D46)/2*25</f>
        <v>620.23808465478294</v>
      </c>
      <c r="D46" s="56">
        <f t="shared" ref="D46:I49" si="8">D35*$B$44</f>
        <v>20.987173541772584</v>
      </c>
      <c r="E46" s="56">
        <f t="shared" si="8"/>
        <v>22.453245739665437</v>
      </c>
      <c r="F46" s="56">
        <f t="shared" si="8"/>
        <v>24.02173133234708</v>
      </c>
      <c r="G46" s="56">
        <f t="shared" si="8"/>
        <v>25.014936850437824</v>
      </c>
      <c r="H46" s="56">
        <f t="shared" si="8"/>
        <v>26.762370985647955</v>
      </c>
      <c r="I46" s="57">
        <f t="shared" si="8"/>
        <v>28.631873230610044</v>
      </c>
    </row>
    <row r="47" spans="1:9" x14ac:dyDescent="0.3">
      <c r="A47" s="52" t="s">
        <v>35</v>
      </c>
      <c r="C47" s="92">
        <f t="shared" si="7"/>
        <v>413.49205643652186</v>
      </c>
      <c r="D47" s="56">
        <f t="shared" si="8"/>
        <v>13.99144902784839</v>
      </c>
      <c r="E47" s="56">
        <f t="shared" si="8"/>
        <v>14.968830493110291</v>
      </c>
      <c r="F47" s="56">
        <f t="shared" si="8"/>
        <v>16.014487554898054</v>
      </c>
      <c r="G47" s="56">
        <f t="shared" si="8"/>
        <v>16.676624566958548</v>
      </c>
      <c r="H47" s="56">
        <f t="shared" si="8"/>
        <v>17.841580657098632</v>
      </c>
      <c r="I47" s="57">
        <f t="shared" si="8"/>
        <v>19.087915487073357</v>
      </c>
    </row>
    <row r="48" spans="1:9" x14ac:dyDescent="0.3">
      <c r="A48" s="52" t="s">
        <v>36</v>
      </c>
      <c r="C48" s="92">
        <f t="shared" si="7"/>
        <v>77.144040379948109</v>
      </c>
      <c r="D48" s="56">
        <f t="shared" si="8"/>
        <v>2.6103449678821624</v>
      </c>
      <c r="E48" s="56">
        <f t="shared" si="8"/>
        <v>2.7926922561772933</v>
      </c>
      <c r="F48" s="56">
        <f t="shared" si="8"/>
        <v>2.9877775288988904</v>
      </c>
      <c r="G48" s="56">
        <f t="shared" si="8"/>
        <v>3.111310553537042</v>
      </c>
      <c r="H48" s="56">
        <f t="shared" si="8"/>
        <v>3.3286531076676553</v>
      </c>
      <c r="I48" s="57">
        <f t="shared" si="8"/>
        <v>3.5611782625136863</v>
      </c>
    </row>
    <row r="49" spans="1:9" ht="15" thickBot="1" x14ac:dyDescent="0.35">
      <c r="A49" s="58" t="s">
        <v>37</v>
      </c>
      <c r="B49" s="59"/>
      <c r="C49" s="93">
        <f t="shared" si="7"/>
        <v>15.428808075989622</v>
      </c>
      <c r="D49" s="60">
        <f t="shared" si="8"/>
        <v>0.52206899357643244</v>
      </c>
      <c r="E49" s="60">
        <f t="shared" si="8"/>
        <v>0.55853845123545864</v>
      </c>
      <c r="F49" s="60">
        <f t="shared" si="8"/>
        <v>0.59755550577977812</v>
      </c>
      <c r="G49" s="60">
        <f t="shared" si="8"/>
        <v>0.62226211070740844</v>
      </c>
      <c r="H49" s="60">
        <f t="shared" si="8"/>
        <v>0.66573062153353113</v>
      </c>
      <c r="I49" s="61">
        <f t="shared" si="8"/>
        <v>0.71223565250273735</v>
      </c>
    </row>
    <row r="50" spans="1:9" x14ac:dyDescent="0.3">
      <c r="A50" s="63"/>
      <c r="B50" s="64"/>
      <c r="C50" s="65"/>
      <c r="D50" s="66"/>
      <c r="E50" s="66"/>
      <c r="F50" s="66"/>
      <c r="G50" s="66"/>
      <c r="H50" s="66"/>
      <c r="I50" s="66"/>
    </row>
    <row r="51" spans="1:9" x14ac:dyDescent="0.3">
      <c r="A51" s="63"/>
      <c r="B51" s="64"/>
      <c r="C51" s="65"/>
      <c r="D51" s="67"/>
      <c r="E51" s="66"/>
      <c r="F51" s="66"/>
      <c r="G51" s="66"/>
      <c r="H51" s="66"/>
      <c r="I51" s="66"/>
    </row>
    <row r="52" spans="1:9" x14ac:dyDescent="0.3">
      <c r="A52" s="63"/>
      <c r="B52" s="64"/>
      <c r="C52" s="65"/>
      <c r="D52" s="66"/>
      <c r="E52" s="66"/>
      <c r="F52" s="66"/>
      <c r="G52" s="66"/>
      <c r="H52" s="66"/>
      <c r="I52" s="66"/>
    </row>
    <row r="54" spans="1:9" ht="28.8" x14ac:dyDescent="0.3">
      <c r="A54" s="62" t="s">
        <v>51</v>
      </c>
    </row>
  </sheetData>
  <hyperlinks>
    <hyperlink ref="A54" r:id="rId1" xr:uid="{703F089C-DFA4-438B-81A5-1FEE95402B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B83B-2290-4AB7-92F6-5AF853601231}">
  <dimension ref="A1:AA30"/>
  <sheetViews>
    <sheetView workbookViewId="0">
      <selection activeCell="G19" sqref="G19"/>
    </sheetView>
  </sheetViews>
  <sheetFormatPr defaultRowHeight="14.4" x14ac:dyDescent="0.3"/>
  <cols>
    <col min="1" max="1" width="25.77734375" customWidth="1"/>
    <col min="2" max="24" width="10.77734375" customWidth="1"/>
    <col min="25" max="27" width="11.77734375" customWidth="1"/>
  </cols>
  <sheetData>
    <row r="1" spans="1:27" ht="18" x14ac:dyDescent="0.35">
      <c r="A1" s="19" t="s">
        <v>56</v>
      </c>
    </row>
    <row r="4" spans="1:27" x14ac:dyDescent="0.3">
      <c r="B4">
        <v>2025</v>
      </c>
      <c r="C4">
        <f>B4+1</f>
        <v>2026</v>
      </c>
      <c r="D4">
        <f t="shared" ref="D4:AA4" si="0">C4+1</f>
        <v>2027</v>
      </c>
      <c r="E4">
        <f t="shared" si="0"/>
        <v>2028</v>
      </c>
      <c r="F4">
        <f t="shared" si="0"/>
        <v>2029</v>
      </c>
      <c r="G4">
        <f t="shared" si="0"/>
        <v>2030</v>
      </c>
      <c r="H4">
        <f t="shared" si="0"/>
        <v>2031</v>
      </c>
      <c r="I4">
        <f t="shared" si="0"/>
        <v>2032</v>
      </c>
      <c r="J4">
        <f t="shared" si="0"/>
        <v>2033</v>
      </c>
      <c r="K4">
        <f t="shared" si="0"/>
        <v>2034</v>
      </c>
      <c r="L4">
        <f t="shared" si="0"/>
        <v>2035</v>
      </c>
      <c r="M4">
        <f t="shared" si="0"/>
        <v>2036</v>
      </c>
      <c r="N4">
        <f t="shared" si="0"/>
        <v>2037</v>
      </c>
      <c r="O4">
        <f t="shared" si="0"/>
        <v>2038</v>
      </c>
      <c r="P4">
        <f t="shared" si="0"/>
        <v>2039</v>
      </c>
      <c r="Q4">
        <f t="shared" si="0"/>
        <v>2040</v>
      </c>
      <c r="R4">
        <f t="shared" si="0"/>
        <v>2041</v>
      </c>
      <c r="S4">
        <f t="shared" si="0"/>
        <v>2042</v>
      </c>
      <c r="T4">
        <f t="shared" si="0"/>
        <v>2043</v>
      </c>
      <c r="U4">
        <f t="shared" si="0"/>
        <v>2044</v>
      </c>
      <c r="V4">
        <f t="shared" si="0"/>
        <v>2045</v>
      </c>
      <c r="W4">
        <f t="shared" si="0"/>
        <v>2046</v>
      </c>
      <c r="X4">
        <f t="shared" si="0"/>
        <v>2047</v>
      </c>
      <c r="Y4">
        <f t="shared" si="0"/>
        <v>2048</v>
      </c>
      <c r="Z4">
        <f t="shared" si="0"/>
        <v>2049</v>
      </c>
      <c r="AA4">
        <f t="shared" si="0"/>
        <v>2050</v>
      </c>
    </row>
    <row r="7" spans="1:27" x14ac:dyDescent="0.3">
      <c r="A7" s="52" t="s">
        <v>33</v>
      </c>
      <c r="B7" s="36">
        <f>'Accident Reductions'!H45*'Look up Table'!N26</f>
        <v>176841.57776264107</v>
      </c>
      <c r="C7" s="36">
        <f>(($G7-$B7)/5)+B7</f>
        <v>171146.77211418012</v>
      </c>
      <c r="D7" s="36">
        <f t="shared" ref="D7:F7" si="1">(($G7-$B7)/5)+C7</f>
        <v>165451.96646571916</v>
      </c>
      <c r="E7" s="36">
        <f t="shared" si="1"/>
        <v>159757.16081725821</v>
      </c>
      <c r="F7" s="36">
        <f t="shared" si="1"/>
        <v>154062.35516879725</v>
      </c>
      <c r="G7" s="36">
        <f>'Accident Reductions'!E45*'Look up Table'!S26</f>
        <v>148367.54952033635</v>
      </c>
      <c r="H7" s="36">
        <f>(($L7-$G7)/5)+G7</f>
        <v>150440.41120405294</v>
      </c>
      <c r="I7" s="36">
        <f t="shared" ref="I7:K7" si="2">(($L7-$G7)/5)+H7</f>
        <v>152513.27288776953</v>
      </c>
      <c r="J7" s="36">
        <f t="shared" si="2"/>
        <v>154586.13457148612</v>
      </c>
      <c r="K7" s="36">
        <f t="shared" si="2"/>
        <v>156658.99625520271</v>
      </c>
      <c r="L7" s="36">
        <f>'Accident Reductions'!F45*'Look up Table'!X26</f>
        <v>158731.85793891936</v>
      </c>
      <c r="M7" s="36">
        <f>(($Q7-$L7)/5)+L7</f>
        <v>160044.44740235605</v>
      </c>
      <c r="N7" s="36">
        <f t="shared" ref="N7:P7" si="3">(($Q7-$L7)/5)+M7</f>
        <v>161357.03686579273</v>
      </c>
      <c r="O7" s="36">
        <f t="shared" si="3"/>
        <v>162669.62632922942</v>
      </c>
      <c r="P7" s="36">
        <f t="shared" si="3"/>
        <v>163982.2157926661</v>
      </c>
      <c r="Q7" s="36">
        <f>'Accident Reductions'!G45*'Look up Table'!AC26</f>
        <v>165294.80525610285</v>
      </c>
      <c r="R7" s="36">
        <f>(($V7-$Q7)/5)+Q7</f>
        <v>167604.1597574105</v>
      </c>
      <c r="S7" s="36">
        <f t="shared" ref="S7:U7" si="4">(($V7-$Q7)/5)+R7</f>
        <v>169913.51425871815</v>
      </c>
      <c r="T7" s="36">
        <f t="shared" si="4"/>
        <v>172222.8687600258</v>
      </c>
      <c r="U7" s="36">
        <f t="shared" si="4"/>
        <v>174532.22326133345</v>
      </c>
      <c r="V7" s="36">
        <f>'Accident Reductions'!H45*'Look up Table'!AH26</f>
        <v>176841.57776264107</v>
      </c>
      <c r="W7" s="36">
        <f>(($AA7-$V7)/5)+V7</f>
        <v>179312.25367403316</v>
      </c>
      <c r="X7" s="36">
        <f t="shared" ref="X7:Z7" si="5">(($AA7-$V7)/5)+W7</f>
        <v>181782.92958542524</v>
      </c>
      <c r="Y7" s="36">
        <f t="shared" si="5"/>
        <v>184253.60549681733</v>
      </c>
      <c r="Z7" s="36">
        <f t="shared" si="5"/>
        <v>186724.28140820941</v>
      </c>
      <c r="AA7" s="36">
        <f>'Accident Reductions'!I45*'Look up Table'!AM26</f>
        <v>189194.95731960153</v>
      </c>
    </row>
    <row r="8" spans="1:27" x14ac:dyDescent="0.3">
      <c r="A8" s="52" t="s">
        <v>34</v>
      </c>
      <c r="B8" s="36">
        <f>'Accident Reductions'!D46*'Look up Table'!N27</f>
        <v>1364270.6061511054</v>
      </c>
      <c r="C8" s="36">
        <f t="shared" ref="C8:F8" si="6">(($G8-$B8)/5)+B8</f>
        <v>1383331.0022744762</v>
      </c>
      <c r="D8" s="36">
        <f t="shared" si="6"/>
        <v>1402391.3983978471</v>
      </c>
      <c r="E8" s="36">
        <f t="shared" si="6"/>
        <v>1421451.7945212179</v>
      </c>
      <c r="F8" s="36">
        <f t="shared" si="6"/>
        <v>1440512.1906445888</v>
      </c>
      <c r="G8" s="36">
        <f>'Accident Reductions'!E46*'Look up Table'!S27</f>
        <v>1459572.5867679596</v>
      </c>
      <c r="H8" s="36">
        <f t="shared" ref="H8:H11" si="7">(($L8-$G8)/5)+G8</f>
        <v>1479964.4588417094</v>
      </c>
      <c r="I8" s="36">
        <f t="shared" ref="I8:K8" si="8">(($L8-$G8)/5)+H8</f>
        <v>1500356.3309154592</v>
      </c>
      <c r="J8" s="36">
        <f t="shared" si="8"/>
        <v>1520748.202989209</v>
      </c>
      <c r="K8" s="36">
        <f t="shared" si="8"/>
        <v>1541140.0750629588</v>
      </c>
      <c r="L8" s="36">
        <f>'Accident Reductions'!F46*'Look up Table'!X27</f>
        <v>1561531.9471367085</v>
      </c>
      <c r="M8" s="36">
        <f t="shared" ref="M8:P8" si="9">(($Q8-$L8)/5)+L8</f>
        <v>1574444.6063044742</v>
      </c>
      <c r="N8" s="36">
        <f t="shared" si="9"/>
        <v>1587357.2654722398</v>
      </c>
      <c r="O8" s="36">
        <f t="shared" si="9"/>
        <v>1600269.9246400055</v>
      </c>
      <c r="P8" s="36">
        <f t="shared" si="9"/>
        <v>1613182.5838077711</v>
      </c>
      <c r="Q8" s="36">
        <f>'Accident Reductions'!G46*'Look up Table'!AC27</f>
        <v>1626095.2429755363</v>
      </c>
      <c r="R8" s="36">
        <f t="shared" ref="R8:U8" si="10">(($V8-$Q8)/5)+Q8</f>
        <v>1648813.6240105741</v>
      </c>
      <c r="S8" s="36">
        <f t="shared" si="10"/>
        <v>1671532.0050456119</v>
      </c>
      <c r="T8" s="36">
        <f t="shared" si="10"/>
        <v>1694250.3860806497</v>
      </c>
      <c r="U8" s="36">
        <f t="shared" si="10"/>
        <v>1716968.7671156875</v>
      </c>
      <c r="V8" s="36">
        <f>'Accident Reductions'!H46*'Look up Table'!AH27</f>
        <v>1739687.1481507248</v>
      </c>
      <c r="W8" s="36">
        <f t="shared" ref="W8:Z8" si="11">(($AA8-$V8)/5)+V8</f>
        <v>1763992.5359711361</v>
      </c>
      <c r="X8" s="36">
        <f t="shared" si="11"/>
        <v>1788297.9237915473</v>
      </c>
      <c r="Y8" s="36">
        <f t="shared" si="11"/>
        <v>1812603.3116119585</v>
      </c>
      <c r="Z8" s="36">
        <f t="shared" si="11"/>
        <v>1836908.6994323698</v>
      </c>
      <c r="AA8" s="36">
        <f>'Accident Reductions'!I46*'Look up Table'!AM27</f>
        <v>1861214.087252781</v>
      </c>
    </row>
    <row r="9" spans="1:27" x14ac:dyDescent="0.3">
      <c r="A9" s="52" t="s">
        <v>35</v>
      </c>
      <c r="B9" s="36">
        <f>'Accident Reductions'!D47*'Look up Table'!N28</f>
        <v>1779173.9777661783</v>
      </c>
      <c r="C9" s="36">
        <f t="shared" ref="C9:F9" si="12">(($G9-$B9)/5)+B9</f>
        <v>1804031.0410465263</v>
      </c>
      <c r="D9" s="36">
        <f t="shared" si="12"/>
        <v>1828888.1043268743</v>
      </c>
      <c r="E9" s="36">
        <f t="shared" si="12"/>
        <v>1853745.1676072222</v>
      </c>
      <c r="F9" s="36">
        <f t="shared" si="12"/>
        <v>1878602.2308875702</v>
      </c>
      <c r="G9" s="36">
        <f>'Accident Reductions'!E47*'Look up Table'!S28</f>
        <v>1903459.2941679182</v>
      </c>
      <c r="H9" s="36">
        <f t="shared" si="7"/>
        <v>1930052.7632260164</v>
      </c>
      <c r="I9" s="36">
        <f t="shared" ref="I9:K9" si="13">(($L9-$G9)/5)+H9</f>
        <v>1956646.2322841147</v>
      </c>
      <c r="J9" s="36">
        <f t="shared" si="13"/>
        <v>1983239.701342213</v>
      </c>
      <c r="K9" s="36">
        <f t="shared" si="13"/>
        <v>2009833.1704003112</v>
      </c>
      <c r="L9" s="36">
        <f>'Accident Reductions'!F47*'Look up Table'!X28</f>
        <v>2036426.6394584097</v>
      </c>
      <c r="M9" s="36">
        <f t="shared" ref="M9:P9" si="14">(($Q9-$L9)/5)+L9</f>
        <v>2053266.3097345775</v>
      </c>
      <c r="N9" s="36">
        <f t="shared" si="14"/>
        <v>2070105.9800107453</v>
      </c>
      <c r="O9" s="36">
        <f t="shared" si="14"/>
        <v>2086945.6502869132</v>
      </c>
      <c r="P9" s="36">
        <f t="shared" si="14"/>
        <v>2103785.3205630812</v>
      </c>
      <c r="Q9" s="36">
        <f>'Accident Reductions'!G47*'Look up Table'!AC28</f>
        <v>2120624.990839249</v>
      </c>
      <c r="R9" s="36">
        <f t="shared" ref="R9:U9" si="15">(($V9-$Q9)/5)+Q9</f>
        <v>2150252.5091426368</v>
      </c>
      <c r="S9" s="36">
        <f t="shared" si="15"/>
        <v>2179880.0274460246</v>
      </c>
      <c r="T9" s="36">
        <f t="shared" si="15"/>
        <v>2209507.5457494124</v>
      </c>
      <c r="U9" s="36">
        <f t="shared" si="15"/>
        <v>2239135.0640528002</v>
      </c>
      <c r="V9" s="36">
        <f>'Accident Reductions'!H47*'Look up Table'!AH28</f>
        <v>2268762.582356187</v>
      </c>
      <c r="W9" s="36">
        <f t="shared" ref="W9:Z9" si="16">(($AA9-$V9)/5)+V9</f>
        <v>2300459.7495711208</v>
      </c>
      <c r="X9" s="36">
        <f t="shared" si="16"/>
        <v>2332156.9167860546</v>
      </c>
      <c r="Y9" s="36">
        <f t="shared" si="16"/>
        <v>2363854.0840009884</v>
      </c>
      <c r="Z9" s="36">
        <f t="shared" si="16"/>
        <v>2395551.2512159222</v>
      </c>
      <c r="AA9" s="36">
        <f>'Accident Reductions'!I47*'Look up Table'!AM28</f>
        <v>2427248.418430856</v>
      </c>
    </row>
    <row r="10" spans="1:27" x14ac:dyDescent="0.3">
      <c r="A10" s="52" t="s">
        <v>36</v>
      </c>
      <c r="B10" s="36">
        <f>'Accident Reductions'!D48*'Look up Table'!N29</f>
        <v>1219132.4973021678</v>
      </c>
      <c r="C10" s="36">
        <f t="shared" ref="C10:F10" si="17">(($G10-$B10)/5)+B10</f>
        <v>1236165.1506633735</v>
      </c>
      <c r="D10" s="36">
        <f t="shared" si="17"/>
        <v>1253197.8040245792</v>
      </c>
      <c r="E10" s="36">
        <f t="shared" si="17"/>
        <v>1270230.4573857849</v>
      </c>
      <c r="F10" s="36">
        <f t="shared" si="17"/>
        <v>1287263.1107469907</v>
      </c>
      <c r="G10" s="36">
        <f>'Accident Reductions'!E48*'Look up Table'!S29</f>
        <v>1304295.7641081959</v>
      </c>
      <c r="H10" s="36">
        <f t="shared" si="7"/>
        <v>1322518.2441747226</v>
      </c>
      <c r="I10" s="36">
        <f t="shared" ref="I10:K10" si="18">(($L10-$G10)/5)+H10</f>
        <v>1340740.7242412493</v>
      </c>
      <c r="J10" s="36">
        <f t="shared" si="18"/>
        <v>1358963.2043077759</v>
      </c>
      <c r="K10" s="36">
        <f t="shared" si="18"/>
        <v>1377185.6843743026</v>
      </c>
      <c r="L10" s="36">
        <f>'Accident Reductions'!F48*'Look up Table'!X29</f>
        <v>1395408.1644408295</v>
      </c>
      <c r="M10" s="36">
        <f t="shared" ref="M10:P10" si="19">(($Q10-$L10)/5)+L10</f>
        <v>1406947.1086554395</v>
      </c>
      <c r="N10" s="36">
        <f t="shared" si="19"/>
        <v>1418486.0528700494</v>
      </c>
      <c r="O10" s="36">
        <f t="shared" si="19"/>
        <v>1430024.9970846593</v>
      </c>
      <c r="P10" s="36">
        <f t="shared" si="19"/>
        <v>1441563.9412992692</v>
      </c>
      <c r="Q10" s="36">
        <f>'Accident Reductions'!G48*'Look up Table'!AC29</f>
        <v>1453102.8855138791</v>
      </c>
      <c r="R10" s="36">
        <f t="shared" ref="R10:U10" si="20">(($V10-$Q10)/5)+Q10</f>
        <v>1473404.3685781856</v>
      </c>
      <c r="S10" s="36">
        <f t="shared" si="20"/>
        <v>1493705.851642492</v>
      </c>
      <c r="T10" s="36">
        <f t="shared" si="20"/>
        <v>1514007.3347067984</v>
      </c>
      <c r="U10" s="36">
        <f t="shared" si="20"/>
        <v>1534308.8177711049</v>
      </c>
      <c r="V10" s="36">
        <f>'Accident Reductions'!H48*'Look up Table'!AH29</f>
        <v>1554610.3008354113</v>
      </c>
      <c r="W10" s="36">
        <f t="shared" ref="W10:Z10" si="21">(($AA10-$V10)/5)+V10</f>
        <v>1576329.9567583606</v>
      </c>
      <c r="X10" s="36">
        <f t="shared" si="21"/>
        <v>1598049.6126813099</v>
      </c>
      <c r="Y10" s="36">
        <f t="shared" si="21"/>
        <v>1619769.2686042592</v>
      </c>
      <c r="Z10" s="36">
        <f t="shared" si="21"/>
        <v>1641488.9245272086</v>
      </c>
      <c r="AA10" s="36">
        <f>'Accident Reductions'!I48*'Look up Table'!AM29</f>
        <v>1663208.5804501583</v>
      </c>
    </row>
    <row r="11" spans="1:27" x14ac:dyDescent="0.3">
      <c r="A11" s="63" t="s">
        <v>37</v>
      </c>
      <c r="B11" s="36">
        <f>'Accident Reductions'!D49*'Look up Table'!N30</f>
        <v>5098528.4138971083</v>
      </c>
      <c r="C11" s="36">
        <f t="shared" ref="C11:F11" si="22">(($G11-$B11)/5)+B11</f>
        <v>5169760.5952378074</v>
      </c>
      <c r="D11" s="36">
        <f t="shared" si="22"/>
        <v>5240992.7765785065</v>
      </c>
      <c r="E11" s="36">
        <f t="shared" si="22"/>
        <v>5312224.9579192055</v>
      </c>
      <c r="F11" s="36">
        <f t="shared" si="22"/>
        <v>5383457.1392599046</v>
      </c>
      <c r="G11" s="36">
        <f>'Accident Reductions'!E49*'Look up Table'!S30</f>
        <v>5454689.3206006018</v>
      </c>
      <c r="H11" s="36">
        <f t="shared" si="7"/>
        <v>5530897.4707372421</v>
      </c>
      <c r="I11" s="36">
        <f t="shared" ref="I11:K11" si="23">(($L11-$G11)/5)+H11</f>
        <v>5607105.6208738824</v>
      </c>
      <c r="J11" s="36">
        <f t="shared" si="23"/>
        <v>5683313.7710105227</v>
      </c>
      <c r="K11" s="36">
        <f t="shared" si="23"/>
        <v>5759521.921147163</v>
      </c>
      <c r="L11" s="36">
        <f>'Accident Reductions'!F49*'Look up Table'!X30</f>
        <v>5835730.0712838015</v>
      </c>
      <c r="M11" s="36">
        <f t="shared" ref="M11:P11" si="24">(($Q11-$L11)/5)+L11</f>
        <v>5883987.0368513269</v>
      </c>
      <c r="N11" s="36">
        <f t="shared" si="24"/>
        <v>5932244.0024188524</v>
      </c>
      <c r="O11" s="36">
        <f t="shared" si="24"/>
        <v>5980500.9679863779</v>
      </c>
      <c r="P11" s="36">
        <f t="shared" si="24"/>
        <v>6028757.9335539034</v>
      </c>
      <c r="Q11" s="36">
        <f>'Accident Reductions'!G49*'Look up Table'!AC30</f>
        <v>6077014.8991214298</v>
      </c>
      <c r="R11" s="36">
        <f t="shared" ref="R11:U11" si="25">(($V11-$Q11)/5)+Q11</f>
        <v>6161917.6381400935</v>
      </c>
      <c r="S11" s="36">
        <f t="shared" si="25"/>
        <v>6246820.3771587573</v>
      </c>
      <c r="T11" s="36">
        <f t="shared" si="25"/>
        <v>6331723.1161774211</v>
      </c>
      <c r="U11" s="36">
        <f t="shared" si="25"/>
        <v>6416625.8551960848</v>
      </c>
      <c r="V11" s="36">
        <f>'Accident Reductions'!H49*'Look up Table'!AH30</f>
        <v>6501528.5942147467</v>
      </c>
      <c r="W11" s="36">
        <f t="shared" ref="W11:Z11" si="26">(($AA11-$V11)/5)+V11</f>
        <v>6592362.2674276913</v>
      </c>
      <c r="X11" s="36">
        <f t="shared" si="26"/>
        <v>6683195.9406406358</v>
      </c>
      <c r="Y11" s="36">
        <f t="shared" si="26"/>
        <v>6774029.6138535803</v>
      </c>
      <c r="Z11" s="36">
        <f t="shared" si="26"/>
        <v>6864863.2870665248</v>
      </c>
      <c r="AA11" s="36">
        <f>'Accident Reductions'!I49*'Look up Table'!AM30</f>
        <v>6955696.9602794703</v>
      </c>
    </row>
    <row r="12" spans="1:27" x14ac:dyDescent="0.3">
      <c r="G12" s="36"/>
    </row>
    <row r="13" spans="1:27" x14ac:dyDescent="0.3">
      <c r="A13" s="69" t="s">
        <v>42</v>
      </c>
      <c r="B13" s="39">
        <f>SUM(B7:B11)</f>
        <v>9637947.0728792008</v>
      </c>
      <c r="C13" s="39">
        <f t="shared" ref="C13:AA13" si="27">SUM(C7:C11)</f>
        <v>9764434.5613363646</v>
      </c>
      <c r="D13" s="39">
        <f t="shared" si="27"/>
        <v>9890922.0497935265</v>
      </c>
      <c r="E13" s="39">
        <f t="shared" si="27"/>
        <v>10017409.538250688</v>
      </c>
      <c r="F13" s="39">
        <f t="shared" si="27"/>
        <v>10143897.02670785</v>
      </c>
      <c r="G13" s="39">
        <f t="shared" si="27"/>
        <v>10270384.515165012</v>
      </c>
      <c r="H13" s="39">
        <f t="shared" si="27"/>
        <v>10413873.348183744</v>
      </c>
      <c r="I13" s="39">
        <f t="shared" si="27"/>
        <v>10557362.181202475</v>
      </c>
      <c r="J13" s="39">
        <f t="shared" si="27"/>
        <v>10700851.014221206</v>
      </c>
      <c r="K13" s="39">
        <f t="shared" si="27"/>
        <v>10844339.847239938</v>
      </c>
      <c r="L13" s="39">
        <f t="shared" si="27"/>
        <v>10987828.680258669</v>
      </c>
      <c r="M13" s="39">
        <f t="shared" si="27"/>
        <v>11078689.508948173</v>
      </c>
      <c r="N13" s="39">
        <f t="shared" si="27"/>
        <v>11169550.33763768</v>
      </c>
      <c r="O13" s="39">
        <f t="shared" si="27"/>
        <v>11260411.166327186</v>
      </c>
      <c r="P13" s="39">
        <f t="shared" si="27"/>
        <v>11351271.99501669</v>
      </c>
      <c r="Q13" s="39">
        <f t="shared" si="27"/>
        <v>11442132.823706198</v>
      </c>
      <c r="R13" s="39">
        <f t="shared" si="27"/>
        <v>11601992.2996289</v>
      </c>
      <c r="S13" s="39">
        <f t="shared" si="27"/>
        <v>11761851.775551604</v>
      </c>
      <c r="T13" s="39">
        <f t="shared" si="27"/>
        <v>11921711.251474306</v>
      </c>
      <c r="U13" s="39">
        <f t="shared" si="27"/>
        <v>12081570.72739701</v>
      </c>
      <c r="V13" s="39">
        <f t="shared" si="27"/>
        <v>12241430.20331971</v>
      </c>
      <c r="W13" s="39">
        <f t="shared" si="27"/>
        <v>12412456.763402343</v>
      </c>
      <c r="X13" s="39">
        <f t="shared" si="27"/>
        <v>12583483.323484972</v>
      </c>
      <c r="Y13" s="39">
        <f t="shared" si="27"/>
        <v>12754509.883567603</v>
      </c>
      <c r="Z13" s="39">
        <f t="shared" si="27"/>
        <v>12925536.443650234</v>
      </c>
      <c r="AA13" s="39">
        <f t="shared" si="27"/>
        <v>13096563.003732868</v>
      </c>
    </row>
    <row r="30" ht="13.8" customHeight="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C0E9-78DD-4D62-A83D-065DF8E269FB}">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D602-3F95-4B4C-A3CE-801F28389066}">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E7A9-E505-4EE1-AADD-4B68BF081C89}">
  <sheetPr>
    <tabColor rgb="FF92D050"/>
  </sheetPr>
  <dimension ref="A1:AN34"/>
  <sheetViews>
    <sheetView tabSelected="1" workbookViewId="0">
      <selection activeCell="B18" sqref="B18"/>
    </sheetView>
  </sheetViews>
  <sheetFormatPr defaultRowHeight="14.4" x14ac:dyDescent="0.3"/>
  <cols>
    <col min="1" max="1" width="50.77734375" customWidth="1"/>
    <col min="2" max="2" width="15.77734375" customWidth="1"/>
    <col min="3" max="4" width="9.5546875" bestFit="1" customWidth="1"/>
    <col min="5" max="6" width="10.5546875" bestFit="1" customWidth="1"/>
    <col min="7" max="8" width="9.5546875" bestFit="1" customWidth="1"/>
    <col min="9" max="34" width="11.77734375" customWidth="1"/>
    <col min="35" max="36" width="9.5546875" bestFit="1" customWidth="1"/>
  </cols>
  <sheetData>
    <row r="1" spans="1:38" ht="18" x14ac:dyDescent="0.35">
      <c r="A1" s="19" t="s">
        <v>123</v>
      </c>
    </row>
    <row r="3" spans="1:38" x14ac:dyDescent="0.3">
      <c r="A3" t="s">
        <v>121</v>
      </c>
    </row>
    <row r="4" spans="1:38" x14ac:dyDescent="0.3">
      <c r="A4" t="s">
        <v>0</v>
      </c>
      <c r="H4">
        <v>1</v>
      </c>
      <c r="I4">
        <v>2</v>
      </c>
      <c r="J4">
        <v>3</v>
      </c>
    </row>
    <row r="5" spans="1:38" x14ac:dyDescent="0.3">
      <c r="A5" t="s">
        <v>1</v>
      </c>
      <c r="K5">
        <f t="shared" ref="J5:AI5" si="0">J5+1</f>
        <v>1</v>
      </c>
      <c r="L5">
        <f t="shared" si="0"/>
        <v>2</v>
      </c>
      <c r="M5">
        <f t="shared" si="0"/>
        <v>3</v>
      </c>
      <c r="N5">
        <f t="shared" si="0"/>
        <v>4</v>
      </c>
      <c r="O5">
        <f t="shared" si="0"/>
        <v>5</v>
      </c>
      <c r="P5">
        <f t="shared" si="0"/>
        <v>6</v>
      </c>
      <c r="Q5">
        <f t="shared" si="0"/>
        <v>7</v>
      </c>
      <c r="R5">
        <f t="shared" si="0"/>
        <v>8</v>
      </c>
      <c r="S5">
        <f t="shared" si="0"/>
        <v>9</v>
      </c>
      <c r="T5">
        <f t="shared" si="0"/>
        <v>10</v>
      </c>
      <c r="U5">
        <f t="shared" si="0"/>
        <v>11</v>
      </c>
      <c r="V5">
        <f t="shared" si="0"/>
        <v>12</v>
      </c>
      <c r="W5">
        <f t="shared" si="0"/>
        <v>13</v>
      </c>
      <c r="X5">
        <f t="shared" si="0"/>
        <v>14</v>
      </c>
      <c r="Y5">
        <f t="shared" si="0"/>
        <v>15</v>
      </c>
      <c r="Z5">
        <f t="shared" si="0"/>
        <v>16</v>
      </c>
      <c r="AA5">
        <f t="shared" si="0"/>
        <v>17</v>
      </c>
      <c r="AB5">
        <f t="shared" si="0"/>
        <v>18</v>
      </c>
      <c r="AC5">
        <f t="shared" si="0"/>
        <v>19</v>
      </c>
      <c r="AD5">
        <f t="shared" si="0"/>
        <v>20</v>
      </c>
      <c r="AE5">
        <f t="shared" si="0"/>
        <v>21</v>
      </c>
      <c r="AF5">
        <f t="shared" si="0"/>
        <v>22</v>
      </c>
      <c r="AG5">
        <f t="shared" si="0"/>
        <v>23</v>
      </c>
      <c r="AH5">
        <f t="shared" si="0"/>
        <v>24</v>
      </c>
      <c r="AI5">
        <f t="shared" si="0"/>
        <v>25</v>
      </c>
    </row>
    <row r="6" spans="1:38" ht="17.399999999999999" x14ac:dyDescent="0.3">
      <c r="A6" t="s">
        <v>2</v>
      </c>
      <c r="C6">
        <v>0</v>
      </c>
      <c r="D6">
        <f>C6+1</f>
        <v>1</v>
      </c>
      <c r="E6">
        <f t="shared" ref="E6:AI6" si="1">D6+1</f>
        <v>2</v>
      </c>
      <c r="F6">
        <f t="shared" si="1"/>
        <v>3</v>
      </c>
      <c r="G6">
        <f t="shared" si="1"/>
        <v>4</v>
      </c>
      <c r="H6">
        <f t="shared" si="1"/>
        <v>5</v>
      </c>
      <c r="I6">
        <f t="shared" si="1"/>
        <v>6</v>
      </c>
      <c r="J6">
        <f t="shared" si="1"/>
        <v>7</v>
      </c>
      <c r="K6">
        <f t="shared" si="1"/>
        <v>8</v>
      </c>
      <c r="L6">
        <f t="shared" si="1"/>
        <v>9</v>
      </c>
      <c r="M6">
        <f t="shared" si="1"/>
        <v>10</v>
      </c>
      <c r="N6">
        <f t="shared" si="1"/>
        <v>11</v>
      </c>
      <c r="O6">
        <f t="shared" si="1"/>
        <v>12</v>
      </c>
      <c r="P6">
        <f t="shared" si="1"/>
        <v>13</v>
      </c>
      <c r="Q6">
        <f t="shared" si="1"/>
        <v>14</v>
      </c>
      <c r="R6">
        <f t="shared" si="1"/>
        <v>15</v>
      </c>
      <c r="S6">
        <f t="shared" si="1"/>
        <v>16</v>
      </c>
      <c r="T6">
        <f t="shared" si="1"/>
        <v>17</v>
      </c>
      <c r="U6">
        <f t="shared" si="1"/>
        <v>18</v>
      </c>
      <c r="V6">
        <f t="shared" si="1"/>
        <v>19</v>
      </c>
      <c r="W6">
        <f t="shared" si="1"/>
        <v>20</v>
      </c>
      <c r="X6">
        <f t="shared" si="1"/>
        <v>21</v>
      </c>
      <c r="Y6">
        <f t="shared" si="1"/>
        <v>22</v>
      </c>
      <c r="Z6">
        <f t="shared" si="1"/>
        <v>23</v>
      </c>
      <c r="AA6">
        <f t="shared" si="1"/>
        <v>24</v>
      </c>
      <c r="AB6">
        <f t="shared" si="1"/>
        <v>25</v>
      </c>
      <c r="AC6">
        <f t="shared" si="1"/>
        <v>26</v>
      </c>
      <c r="AD6">
        <f t="shared" si="1"/>
        <v>27</v>
      </c>
      <c r="AE6">
        <f t="shared" si="1"/>
        <v>28</v>
      </c>
      <c r="AF6">
        <f t="shared" si="1"/>
        <v>29</v>
      </c>
      <c r="AG6">
        <f t="shared" si="1"/>
        <v>30</v>
      </c>
      <c r="AH6">
        <f t="shared" si="1"/>
        <v>31</v>
      </c>
      <c r="AI6">
        <f t="shared" si="1"/>
        <v>32</v>
      </c>
    </row>
    <row r="7" spans="1:38" x14ac:dyDescent="0.3">
      <c r="A7" t="s">
        <v>3</v>
      </c>
      <c r="C7">
        <v>2019</v>
      </c>
      <c r="D7">
        <f>C7+1</f>
        <v>2020</v>
      </c>
      <c r="E7">
        <f>D7+1</f>
        <v>2021</v>
      </c>
      <c r="F7">
        <f>E7+1</f>
        <v>2022</v>
      </c>
      <c r="G7">
        <f t="shared" ref="G7:AI7" si="2">F7+1</f>
        <v>2023</v>
      </c>
      <c r="H7">
        <f t="shared" si="2"/>
        <v>2024</v>
      </c>
      <c r="I7">
        <f t="shared" si="2"/>
        <v>2025</v>
      </c>
      <c r="J7">
        <f t="shared" si="2"/>
        <v>2026</v>
      </c>
      <c r="K7">
        <f t="shared" si="2"/>
        <v>2027</v>
      </c>
      <c r="L7">
        <f t="shared" si="2"/>
        <v>2028</v>
      </c>
      <c r="M7">
        <f t="shared" si="2"/>
        <v>2029</v>
      </c>
      <c r="N7">
        <f t="shared" si="2"/>
        <v>2030</v>
      </c>
      <c r="O7">
        <f t="shared" si="2"/>
        <v>2031</v>
      </c>
      <c r="P7">
        <f t="shared" si="2"/>
        <v>2032</v>
      </c>
      <c r="Q7">
        <f t="shared" si="2"/>
        <v>2033</v>
      </c>
      <c r="R7">
        <f t="shared" si="2"/>
        <v>2034</v>
      </c>
      <c r="S7">
        <f t="shared" si="2"/>
        <v>2035</v>
      </c>
      <c r="T7">
        <f t="shared" si="2"/>
        <v>2036</v>
      </c>
      <c r="U7">
        <f t="shared" si="2"/>
        <v>2037</v>
      </c>
      <c r="V7">
        <f t="shared" si="2"/>
        <v>2038</v>
      </c>
      <c r="W7">
        <f t="shared" si="2"/>
        <v>2039</v>
      </c>
      <c r="X7">
        <f t="shared" si="2"/>
        <v>2040</v>
      </c>
      <c r="Y7">
        <f t="shared" si="2"/>
        <v>2041</v>
      </c>
      <c r="Z7">
        <f t="shared" si="2"/>
        <v>2042</v>
      </c>
      <c r="AA7">
        <f t="shared" si="2"/>
        <v>2043</v>
      </c>
      <c r="AB7">
        <f t="shared" si="2"/>
        <v>2044</v>
      </c>
      <c r="AC7">
        <f t="shared" si="2"/>
        <v>2045</v>
      </c>
      <c r="AD7">
        <f t="shared" si="2"/>
        <v>2046</v>
      </c>
      <c r="AE7">
        <f t="shared" si="2"/>
        <v>2047</v>
      </c>
      <c r="AF7">
        <f t="shared" si="2"/>
        <v>2048</v>
      </c>
      <c r="AG7">
        <f t="shared" si="2"/>
        <v>2049</v>
      </c>
      <c r="AH7">
        <f t="shared" si="2"/>
        <v>2050</v>
      </c>
      <c r="AI7">
        <f t="shared" si="2"/>
        <v>2051</v>
      </c>
    </row>
    <row r="9" spans="1:38" x14ac:dyDescent="0.3">
      <c r="A9" t="s">
        <v>122</v>
      </c>
      <c r="C9">
        <f>(1+'Look up Table'!$B$4)^C6</f>
        <v>1</v>
      </c>
      <c r="D9">
        <f>(1+'Look up Table'!$B$4)^D6</f>
        <v>1.07</v>
      </c>
      <c r="E9">
        <f>(1+'Look up Table'!$B$4)^E6</f>
        <v>1.1449</v>
      </c>
      <c r="F9">
        <f>(1+'Look up Table'!$B$4)^F6</f>
        <v>1.2250430000000001</v>
      </c>
      <c r="G9">
        <f>(1+'Look up Table'!$B$4)^G6</f>
        <v>1.31079601</v>
      </c>
      <c r="H9">
        <f>(1+'Look up Table'!$B$4)^H6</f>
        <v>1.4025517307000002</v>
      </c>
      <c r="I9">
        <f>(1+'Look up Table'!$B$4)^I6</f>
        <v>1.5007303518490001</v>
      </c>
      <c r="J9">
        <f>(1+'Look up Table'!$B$4)^J6</f>
        <v>1.6057814764784302</v>
      </c>
      <c r="K9">
        <f>(1+'Look up Table'!$B$4)^K6</f>
        <v>1.7181861798319202</v>
      </c>
      <c r="L9">
        <f>(1+'Look up Table'!$B$4)^L6</f>
        <v>1.8384592124201549</v>
      </c>
      <c r="M9">
        <f>(1+'Look up Table'!$B$4)^M6</f>
        <v>1.9671513572895656</v>
      </c>
      <c r="N9">
        <f>(1+'Look up Table'!$B$4)^N6</f>
        <v>2.1048519522998355</v>
      </c>
      <c r="O9">
        <f>(1+'Look up Table'!$B$4)^O6</f>
        <v>2.2521915889608235</v>
      </c>
      <c r="P9">
        <f>(1+'Look up Table'!$B$4)^P6</f>
        <v>2.4098450001880813</v>
      </c>
      <c r="Q9">
        <f>(1+'Look up Table'!$B$4)^Q6</f>
        <v>2.5785341502012469</v>
      </c>
      <c r="R9">
        <f>(1+'Look up Table'!$B$4)^R6</f>
        <v>2.7590315407153345</v>
      </c>
      <c r="S9">
        <f>(1+'Look up Table'!$B$4)^S6</f>
        <v>2.9521637485654075</v>
      </c>
      <c r="T9">
        <f>(1+'Look up Table'!$B$4)^T6</f>
        <v>3.1588152109649861</v>
      </c>
      <c r="U9">
        <f>(1+'Look up Table'!$B$4)^U6</f>
        <v>3.3799322757325352</v>
      </c>
      <c r="V9">
        <f>(1+'Look up Table'!$B$4)^V6</f>
        <v>3.6165275350338129</v>
      </c>
      <c r="W9">
        <f>(1+'Look up Table'!$B$4)^W6</f>
        <v>3.8696844624861795</v>
      </c>
      <c r="X9">
        <f>(1+'Look up Table'!$B$4)^X6</f>
        <v>4.1405623748602123</v>
      </c>
      <c r="Y9">
        <f>(1+'Look up Table'!$B$4)^Y6</f>
        <v>4.4304017411004271</v>
      </c>
      <c r="Z9">
        <f>(1+'Look up Table'!$B$4)^Z6</f>
        <v>4.740529862977457</v>
      </c>
      <c r="AA9">
        <f>(1+'Look up Table'!$B$4)^AA6</f>
        <v>5.0723669533858793</v>
      </c>
      <c r="AB9">
        <f>(1+'Look up Table'!$B$4)^AB6</f>
        <v>5.4274326401228912</v>
      </c>
      <c r="AC9">
        <f>(1+'Look up Table'!$B$4)^AC6</f>
        <v>5.807352924931493</v>
      </c>
      <c r="AD9">
        <f>(1+'Look up Table'!$B$4)^AD6</f>
        <v>6.2138676296766988</v>
      </c>
      <c r="AE9">
        <f>(1+'Look up Table'!$B$4)^AE6</f>
        <v>6.6488383637540664</v>
      </c>
      <c r="AF9">
        <f>(1+'Look up Table'!$B$4)^AF6</f>
        <v>7.1142570492168513</v>
      </c>
      <c r="AG9">
        <f>(1+'Look up Table'!$B$4)^AG6</f>
        <v>7.6122550426620306</v>
      </c>
      <c r="AH9">
        <f>(1+'Look up Table'!$B$4)^AH6</f>
        <v>8.1451128956483743</v>
      </c>
      <c r="AI9">
        <f>(1+'Look up Table'!$B$4)^AI6</f>
        <v>8.7152707983437594</v>
      </c>
    </row>
    <row r="10" spans="1:38" ht="15" thickBot="1" x14ac:dyDescent="0.35"/>
    <row r="11" spans="1:38" x14ac:dyDescent="0.3">
      <c r="A11" s="25" t="s">
        <v>58</v>
      </c>
      <c r="B11" s="117">
        <f>SUM(C11:AI11)</f>
        <v>109.44760596281593</v>
      </c>
      <c r="C11" s="20">
        <f>Costs!D8/C9</f>
        <v>0</v>
      </c>
      <c r="D11" s="20">
        <f>Costs!E8/D9</f>
        <v>0</v>
      </c>
      <c r="E11" s="20">
        <f>Costs!F8/E9</f>
        <v>0</v>
      </c>
      <c r="F11" s="20">
        <f>Costs!G8/F9</f>
        <v>0</v>
      </c>
      <c r="G11" s="20">
        <f>Costs!H8/G9</f>
        <v>0</v>
      </c>
      <c r="H11" s="20">
        <f>Costs!I8/H9</f>
        <v>38.976815473833696</v>
      </c>
      <c r="I11" s="20">
        <f>Costs!J8/I9</f>
        <v>36.426930349377294</v>
      </c>
      <c r="J11" s="20">
        <f>Costs!K8/J9</f>
        <v>34.043860139604945</v>
      </c>
      <c r="K11" s="20">
        <f>Costs!L8/K9</f>
        <v>0</v>
      </c>
      <c r="L11" s="20">
        <f>Costs!M8/L9</f>
        <v>0</v>
      </c>
      <c r="M11" s="20">
        <f>Costs!N8/M9</f>
        <v>0</v>
      </c>
      <c r="N11" s="20">
        <f>Costs!O8/N9</f>
        <v>0</v>
      </c>
      <c r="O11" s="20">
        <f>Costs!P8/O9</f>
        <v>0</v>
      </c>
      <c r="P11" s="20">
        <f>Costs!Q8/P9</f>
        <v>0</v>
      </c>
      <c r="Q11" s="20">
        <f>Costs!R8/Q9</f>
        <v>0</v>
      </c>
      <c r="R11" s="20">
        <f>Costs!S8/R9</f>
        <v>0</v>
      </c>
      <c r="S11" s="20">
        <f>Costs!T8/S9</f>
        <v>0</v>
      </c>
      <c r="T11" s="20">
        <f>Costs!U8/T9</f>
        <v>0</v>
      </c>
      <c r="U11" s="20">
        <f>Costs!V8/U9</f>
        <v>0</v>
      </c>
      <c r="V11" s="20">
        <f>Costs!W8/V9</f>
        <v>0</v>
      </c>
      <c r="W11" s="20">
        <f>Costs!X8/W9</f>
        <v>0</v>
      </c>
      <c r="X11" s="20">
        <f>Costs!Y8/X9</f>
        <v>0</v>
      </c>
      <c r="Y11" s="20">
        <f>Costs!Z8/Y9</f>
        <v>0</v>
      </c>
      <c r="Z11" s="20">
        <f>Costs!AA8/Z9</f>
        <v>0</v>
      </c>
      <c r="AA11" s="20">
        <f>Costs!AB8/AA9</f>
        <v>0</v>
      </c>
      <c r="AB11" s="20">
        <f>Costs!AC8/AB9</f>
        <v>0</v>
      </c>
      <c r="AC11" s="20">
        <f>Costs!AD8/AC9</f>
        <v>0</v>
      </c>
      <c r="AD11" s="20">
        <f>Costs!AE8/AD9</f>
        <v>0</v>
      </c>
      <c r="AE11" s="20">
        <f>Costs!AF8/AE9</f>
        <v>0</v>
      </c>
      <c r="AF11" s="20">
        <f>Costs!AG8/AF9</f>
        <v>0</v>
      </c>
      <c r="AG11" s="20">
        <f>Costs!AH8/AG9</f>
        <v>0</v>
      </c>
      <c r="AH11" s="20">
        <f>Costs!AI8/AH9</f>
        <v>0</v>
      </c>
      <c r="AI11" s="20">
        <f>Costs!AJ8/AI9</f>
        <v>0</v>
      </c>
      <c r="AJ11" s="20"/>
    </row>
    <row r="12" spans="1:38" x14ac:dyDescent="0.3">
      <c r="A12" s="26" t="s">
        <v>26</v>
      </c>
      <c r="B12" s="118">
        <v>9.9999999999999995E-8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L12">
        <v>1</v>
      </c>
    </row>
    <row r="13" spans="1:38" hidden="1" x14ac:dyDescent="0.3">
      <c r="A13" s="26" t="s">
        <v>27</v>
      </c>
      <c r="B13" s="119">
        <f t="shared" ref="B13" si="3">SUM(C13:AJ13)</f>
        <v>0</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8" ht="15" thickBot="1" x14ac:dyDescent="0.35">
      <c r="A14" s="26" t="s">
        <v>124</v>
      </c>
      <c r="B14" s="120">
        <f>B11-B13</f>
        <v>109.44760596281593</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row>
    <row r="15" spans="1:38" ht="15" hidden="1" thickBot="1" x14ac:dyDescent="0.35">
      <c r="A15" s="26" t="s">
        <v>118</v>
      </c>
      <c r="B15" s="101">
        <v>0</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8" ht="15" thickBot="1" x14ac:dyDescent="0.35">
      <c r="A16" s="72" t="s">
        <v>59</v>
      </c>
      <c r="B16" s="22">
        <f>B14+B15</f>
        <v>109.44760596281593</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40" ht="15" thickBot="1" x14ac:dyDescent="0.35">
      <c r="A17" s="26"/>
      <c r="B17" s="27"/>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1:40" ht="15" thickBot="1" x14ac:dyDescent="0.35">
      <c r="A18" s="72" t="s">
        <v>128</v>
      </c>
      <c r="B18" s="70">
        <f>B19+B24+B25</f>
        <v>145.56175689452741</v>
      </c>
      <c r="C18" s="20"/>
      <c r="D18" s="20"/>
      <c r="E18" s="20"/>
      <c r="F18" s="20"/>
      <c r="G18" s="20"/>
      <c r="H18" s="20"/>
      <c r="I18" s="20"/>
      <c r="J18" s="20"/>
      <c r="K18" s="20">
        <f t="shared" ref="I18:AH18" si="4">SUM(K19:K24)</f>
        <v>9.7206888846761235</v>
      </c>
      <c r="L18" s="20">
        <f t="shared" si="4"/>
        <v>9.4217202317310988</v>
      </c>
      <c r="M18" s="20">
        <f t="shared" si="4"/>
        <v>9.1202658845562308</v>
      </c>
      <c r="N18" s="20">
        <f t="shared" si="4"/>
        <v>8.8179306150923527</v>
      </c>
      <c r="O18" s="20">
        <f t="shared" si="4"/>
        <v>8.1877016215561955</v>
      </c>
      <c r="P18" s="20">
        <f t="shared" si="4"/>
        <v>7.6021930780311848</v>
      </c>
      <c r="Q18" s="20">
        <f t="shared" si="4"/>
        <v>7.0582509960962021</v>
      </c>
      <c r="R18" s="20">
        <f t="shared" si="4"/>
        <v>6.5529426619046962</v>
      </c>
      <c r="S18" s="20">
        <f t="shared" si="4"/>
        <v>6.083541182967811</v>
      </c>
      <c r="T18" s="20">
        <f t="shared" si="4"/>
        <v>5.7455977217225378</v>
      </c>
      <c r="U18" s="20">
        <f t="shared" si="4"/>
        <v>5.4258345196247877</v>
      </c>
      <c r="V18" s="20">
        <f t="shared" si="4"/>
        <v>5.1233191984230126</v>
      </c>
      <c r="W18" s="20">
        <f t="shared" si="4"/>
        <v>4.837163564503852</v>
      </c>
      <c r="X18" s="20">
        <f t="shared" si="4"/>
        <v>4.56652181816336</v>
      </c>
      <c r="Y18" s="20">
        <f t="shared" si="4"/>
        <v>4.3277432054248015</v>
      </c>
      <c r="Z18" s="20">
        <f t="shared" si="4"/>
        <v>4.1006626268195614</v>
      </c>
      <c r="AA18" s="20">
        <f t="shared" si="4"/>
        <v>3.8847714350328064</v>
      </c>
      <c r="AB18" s="20">
        <f t="shared" si="4"/>
        <v>3.6795774689061438</v>
      </c>
      <c r="AC18" s="20">
        <f t="shared" si="4"/>
        <v>3.4846050733045169</v>
      </c>
      <c r="AD18" s="20">
        <f t="shared" si="4"/>
        <v>3.3021441515260168</v>
      </c>
      <c r="AE18" s="20">
        <f t="shared" si="4"/>
        <v>3.1286430351656564</v>
      </c>
      <c r="AF18" s="20">
        <f t="shared" si="4"/>
        <v>2.9637103185679861</v>
      </c>
      <c r="AG18" s="20">
        <f t="shared" si="4"/>
        <v>2.8069674614113325</v>
      </c>
      <c r="AH18" s="20">
        <f t="shared" si="4"/>
        <v>2.658048780550498</v>
      </c>
      <c r="AI18" s="20">
        <f>AH18</f>
        <v>2.658048780550498</v>
      </c>
      <c r="AJ18" s="20"/>
      <c r="AK18" s="20"/>
      <c r="AL18" s="20"/>
      <c r="AM18" s="20"/>
      <c r="AN18" s="20"/>
    </row>
    <row r="19" spans="1:40" x14ac:dyDescent="0.3">
      <c r="A19" s="73" t="s">
        <v>125</v>
      </c>
      <c r="B19" s="121">
        <f>SUM(C19:AI19)</f>
        <v>55.206768543819813</v>
      </c>
      <c r="C19" s="20"/>
      <c r="D19" s="20"/>
      <c r="E19" s="20"/>
      <c r="F19" s="20"/>
      <c r="G19" s="20"/>
      <c r="H19" s="20"/>
      <c r="I19" s="20"/>
      <c r="J19" s="20"/>
      <c r="K19" s="20">
        <f>'Travel Time Benefits'!D14/J9/1000000</f>
        <v>3.9640821991531987</v>
      </c>
      <c r="L19" s="20">
        <f>'Travel Time Benefits'!E14/K9/1000000</f>
        <v>3.97291317059226</v>
      </c>
      <c r="M19" s="20">
        <f>'Travel Time Benefits'!F14/L9/1000000</f>
        <v>3.9636230115418267</v>
      </c>
      <c r="N19" s="20">
        <f>'Travel Time Benefits'!G14/M9/1000000</f>
        <v>3.9385449158068391</v>
      </c>
      <c r="O19" s="20">
        <f>'Travel Time Benefits'!H14/N9/1000000</f>
        <v>3.5638173129442552</v>
      </c>
      <c r="P19" s="20">
        <f>'Travel Time Benefits'!I14/O9/1000000</f>
        <v>3.2212631093491724</v>
      </c>
      <c r="Q19" s="20">
        <f>'Travel Time Benefits'!J14/P9/1000000</f>
        <v>2.9082764792234905</v>
      </c>
      <c r="R19" s="20">
        <f>'Travel Time Benefits'!K14/Q9/1000000</f>
        <v>2.6224548486235459</v>
      </c>
      <c r="S19" s="20">
        <f>'Travel Time Benefits'!L14/R9/1000000</f>
        <v>2.3615834543024681</v>
      </c>
      <c r="T19" s="20">
        <f>'Travel Time Benefits'!M14/S9/1000000</f>
        <v>2.2383683432861377</v>
      </c>
      <c r="U19" s="20">
        <f>'Travel Time Benefits'!N14/T9/1000000</f>
        <v>2.1211676131800732</v>
      </c>
      <c r="V19" s="20">
        <f>'Travel Time Benefits'!O14/U9/1000000</f>
        <v>2.0097216778052398</v>
      </c>
      <c r="W19" s="20">
        <f>'Travel Time Benefits'!P14/V9/1000000</f>
        <v>1.9037791748826445</v>
      </c>
      <c r="X19" s="20">
        <f>'Travel Time Benefits'!Q14/W9/1000000</f>
        <v>1.803097000998882</v>
      </c>
      <c r="Y19" s="20">
        <f>'Travel Time Benefits'!R14/X9/1000000</f>
        <v>1.7090208010888039</v>
      </c>
      <c r="Z19" s="20">
        <f>'Travel Time Benefits'!S14/Y9/1000000</f>
        <v>1.6195366523986017</v>
      </c>
      <c r="AA19" s="20">
        <f>'Travel Time Benefits'!T14/Z9/1000000</f>
        <v>1.5344463577991121</v>
      </c>
      <c r="AB19" s="20">
        <f>'Travel Time Benefits'!U14/AA9/1000000</f>
        <v>1.4535579992064789</v>
      </c>
      <c r="AC19" s="20">
        <f>'Travel Time Benefits'!V14/AB9/1000000</f>
        <v>1.376685964278761</v>
      </c>
      <c r="AD19" s="20">
        <f>'Travel Time Benefits'!W14/AC9/1000000</f>
        <v>1.3046029254912181</v>
      </c>
      <c r="AE19" s="20">
        <f>'Travel Time Benefits'!X14/AD9/1000000</f>
        <v>1.2360593032338598</v>
      </c>
      <c r="AF19" s="20">
        <f>'Travel Time Benefits'!Y14/AE9/1000000</f>
        <v>1.1709005008553075</v>
      </c>
      <c r="AG19" s="20">
        <f>'Travel Time Benefits'!Z14/AF9/1000000</f>
        <v>1.108977001132412</v>
      </c>
      <c r="AH19" s="20">
        <f>'Travel Time Benefits'!AA14/AG9/1000000</f>
        <v>1.0501443633226082</v>
      </c>
      <c r="AI19" s="20">
        <f>AH19</f>
        <v>1.0501443633226082</v>
      </c>
      <c r="AJ19" s="20"/>
      <c r="AK19" s="20"/>
      <c r="AL19" s="20"/>
      <c r="AM19" s="20"/>
      <c r="AN19" s="20"/>
    </row>
    <row r="20" spans="1:40" hidden="1" x14ac:dyDescent="0.3">
      <c r="A20" s="73" t="s">
        <v>126</v>
      </c>
      <c r="B20" s="122">
        <f>SUM(B21:B22)</f>
        <v>0</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row>
    <row r="21" spans="1:40" hidden="1" x14ac:dyDescent="0.3">
      <c r="A21" s="33" t="s">
        <v>61</v>
      </c>
      <c r="B21" s="100">
        <f t="shared" ref="B21:B24" si="5">SUM(C21:AH21)</f>
        <v>0</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row>
    <row r="22" spans="1:40" hidden="1" x14ac:dyDescent="0.3">
      <c r="A22" s="71" t="s">
        <v>60</v>
      </c>
      <c r="B22" s="100">
        <f t="shared" si="5"/>
        <v>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row>
    <row r="23" spans="1:40" hidden="1" x14ac:dyDescent="0.3">
      <c r="A23" s="33" t="s">
        <v>31</v>
      </c>
      <c r="B23" s="99">
        <f t="shared" si="5"/>
        <v>0</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row>
    <row r="24" spans="1:40" x14ac:dyDescent="0.3">
      <c r="A24" s="73" t="s">
        <v>127</v>
      </c>
      <c r="B24" s="121">
        <f>SUM(C24:AI24)</f>
        <v>80.051825772489451</v>
      </c>
      <c r="C24" s="20"/>
      <c r="D24" s="20"/>
      <c r="E24" s="20"/>
      <c r="F24" s="20"/>
      <c r="G24" s="20"/>
      <c r="H24" s="20"/>
      <c r="I24" s="20"/>
      <c r="J24" s="20"/>
      <c r="K24" s="20">
        <f>('Monetized Safety Benefits'!D13)/K9/1000000</f>
        <v>5.7566066855229252</v>
      </c>
      <c r="L24" s="20">
        <f>('Monetized Safety Benefits'!E13)/L9/1000000</f>
        <v>5.4488070611388384</v>
      </c>
      <c r="M24" s="20">
        <f>('Monetized Safety Benefits'!F13)/M9/1000000</f>
        <v>5.1566428730144045</v>
      </c>
      <c r="N24" s="20">
        <f>('Monetized Safety Benefits'!G13)/N9/1000000</f>
        <v>4.879385699285514</v>
      </c>
      <c r="O24" s="20">
        <f>('Monetized Safety Benefits'!H13)/O9/1000000</f>
        <v>4.6238843086119399</v>
      </c>
      <c r="P24" s="20">
        <f>('Monetized Safety Benefits'!I13)/P9/1000000</f>
        <v>4.3809299686820129</v>
      </c>
      <c r="Q24" s="20">
        <f>('Monetized Safety Benefits'!J13)/Q9/1000000</f>
        <v>4.1499745168727111</v>
      </c>
      <c r="R24" s="20">
        <f>('Monetized Safety Benefits'!K13)/R9/1000000</f>
        <v>3.9304878132811503</v>
      </c>
      <c r="S24" s="20">
        <f>('Monetized Safety Benefits'!L13)/S9/1000000</f>
        <v>3.7219577286653429</v>
      </c>
      <c r="T24" s="20">
        <f>('Monetized Safety Benefits'!M13)/T9/1000000</f>
        <v>3.5072293784363997</v>
      </c>
      <c r="U24" s="20">
        <f>('Monetized Safety Benefits'!N13)/U9/1000000</f>
        <v>3.3046669064447141</v>
      </c>
      <c r="V24" s="20">
        <f>('Monetized Safety Benefits'!O13)/V9/1000000</f>
        <v>3.1135975206177728</v>
      </c>
      <c r="W24" s="20">
        <f>('Monetized Safety Benefits'!P13)/W9/1000000</f>
        <v>2.9333843896212071</v>
      </c>
      <c r="X24" s="20">
        <f>('Monetized Safety Benefits'!Q13)/X9/1000000</f>
        <v>2.763424817164478</v>
      </c>
      <c r="Y24" s="20">
        <f>('Monetized Safety Benefits'!R13)/Y9/1000000</f>
        <v>2.6187224043359976</v>
      </c>
      <c r="Z24" s="20">
        <f>('Monetized Safety Benefits'!S13)/Z9/1000000</f>
        <v>2.4811259744209599</v>
      </c>
      <c r="AA24" s="20">
        <f>('Monetized Safety Benefits'!T13)/AA9/1000000</f>
        <v>2.3503250772336943</v>
      </c>
      <c r="AB24" s="20">
        <f>('Monetized Safety Benefits'!U13)/AB9/1000000</f>
        <v>2.2260194696996649</v>
      </c>
      <c r="AC24" s="20">
        <f>('Monetized Safety Benefits'!V13)/AC9/1000000</f>
        <v>2.1079191090257559</v>
      </c>
      <c r="AD24" s="20">
        <f>('Monetized Safety Benefits'!W13)/AD9/1000000</f>
        <v>1.9975412260347989</v>
      </c>
      <c r="AE24" s="20">
        <f>('Monetized Safety Benefits'!X13)/AE9/1000000</f>
        <v>1.8925837319317969</v>
      </c>
      <c r="AF24" s="20">
        <f>('Monetized Safety Benefits'!Y13)/AF9/1000000</f>
        <v>1.7928098177126788</v>
      </c>
      <c r="AG24" s="20">
        <f>('Monetized Safety Benefits'!Z13)/AG9/1000000</f>
        <v>1.6979904602789204</v>
      </c>
      <c r="AH24" s="20">
        <f>('Monetized Safety Benefits'!AA13)/AH9/1000000</f>
        <v>1.6079044172278896</v>
      </c>
      <c r="AI24" s="20">
        <f>AH24</f>
        <v>1.6079044172278896</v>
      </c>
    </row>
    <row r="25" spans="1:40" x14ac:dyDescent="0.3">
      <c r="A25" s="73" t="s">
        <v>138</v>
      </c>
      <c r="B25" s="121">
        <f>SUM(C25:AI25)</f>
        <v>10.303162578218139</v>
      </c>
      <c r="C25" s="20">
        <f>Costs!D20/C9</f>
        <v>0</v>
      </c>
      <c r="D25" s="20">
        <f>Costs!E20/D9</f>
        <v>0</v>
      </c>
      <c r="E25" s="20">
        <f>Costs!F20/E9</f>
        <v>2.0962529478557079</v>
      </c>
      <c r="F25" s="20">
        <f>Costs!G20/F9</f>
        <v>0</v>
      </c>
      <c r="G25" s="20">
        <f>Costs!H20/G9</f>
        <v>0</v>
      </c>
      <c r="H25" s="20">
        <f>Costs!I20/H9</f>
        <v>0</v>
      </c>
      <c r="I25" s="20">
        <f>Costs!J20/I9</f>
        <v>0</v>
      </c>
      <c r="J25" s="20">
        <f>Costs!K20/J9</f>
        <v>-0.62274974188459109</v>
      </c>
      <c r="K25" s="20">
        <f>Costs!L20/K9</f>
        <v>0</v>
      </c>
      <c r="L25" s="20">
        <f>Costs!M20/L9</f>
        <v>0</v>
      </c>
      <c r="M25" s="20">
        <f>Costs!N20/M9</f>
        <v>0</v>
      </c>
      <c r="N25" s="20">
        <f>Costs!O20/N9</f>
        <v>4.0857980489332455</v>
      </c>
      <c r="O25" s="20">
        <f>Costs!P20/O9</f>
        <v>0</v>
      </c>
      <c r="P25" s="20">
        <f>Costs!Q20/P9</f>
        <v>0</v>
      </c>
      <c r="Q25" s="20">
        <f>Costs!R20/Q9</f>
        <v>0</v>
      </c>
      <c r="R25" s="20">
        <f>Costs!S20/R9</f>
        <v>0</v>
      </c>
      <c r="S25" s="20">
        <f>Costs!T20/S9</f>
        <v>1.117824172728773</v>
      </c>
      <c r="T25" s="20">
        <f>Costs!U20/T9</f>
        <v>0</v>
      </c>
      <c r="U25" s="20">
        <f>Costs!V20/U9</f>
        <v>0</v>
      </c>
      <c r="V25" s="20">
        <f>Costs!W20/V9</f>
        <v>0</v>
      </c>
      <c r="W25" s="20">
        <f>Costs!X20/W9</f>
        <v>0</v>
      </c>
      <c r="X25" s="20">
        <f>Costs!Y20/X9</f>
        <v>2.7774004975322337</v>
      </c>
      <c r="Y25" s="20">
        <f>Costs!Z20/Y9</f>
        <v>0</v>
      </c>
      <c r="Z25" s="20">
        <f>Costs!AA20/Z9</f>
        <v>0</v>
      </c>
      <c r="AA25" s="20">
        <f>Costs!AB20/AA9</f>
        <v>0</v>
      </c>
      <c r="AB25" s="20">
        <f>Costs!AC20/AB9</f>
        <v>0</v>
      </c>
      <c r="AC25" s="20">
        <f>Costs!AD20/AC9</f>
        <v>-0.86097746505719441</v>
      </c>
      <c r="AD25" s="20">
        <f>Costs!AE20/AD9</f>
        <v>0</v>
      </c>
      <c r="AE25" s="20">
        <f>Costs!AF20/AE9</f>
        <v>0</v>
      </c>
      <c r="AF25" s="20">
        <f>Costs!AG20/AF9</f>
        <v>0</v>
      </c>
      <c r="AG25" s="20">
        <f>Costs!AH20/AG9</f>
        <v>-0.32841779288647449</v>
      </c>
      <c r="AH25" s="20">
        <f>Costs!AI20/AH9</f>
        <v>2.0380319109964398</v>
      </c>
      <c r="AI25" s="20">
        <f>Costs!AJ20/AI9</f>
        <v>0</v>
      </c>
    </row>
    <row r="26" spans="1:40" ht="15" thickBot="1" x14ac:dyDescent="0.35">
      <c r="A26" s="33"/>
      <c r="B26" s="122"/>
    </row>
    <row r="27" spans="1:40" ht="15" thickBot="1" x14ac:dyDescent="0.35">
      <c r="A27" s="26" t="s">
        <v>24</v>
      </c>
      <c r="B27" s="123">
        <f>B18/B14</f>
        <v>1.3299674818285292</v>
      </c>
    </row>
    <row r="28" spans="1:40" ht="15" thickBot="1" x14ac:dyDescent="0.35">
      <c r="A28" s="28" t="s">
        <v>25</v>
      </c>
      <c r="B28" s="124">
        <f>B18-B14</f>
        <v>36.114150931711478</v>
      </c>
    </row>
    <row r="29" spans="1:40" x14ac:dyDescent="0.3">
      <c r="K29" t="s">
        <v>10</v>
      </c>
    </row>
    <row r="31" spans="1:40" x14ac:dyDescent="0.3">
      <c r="H31" t="s">
        <v>10</v>
      </c>
    </row>
    <row r="33" spans="4:17" x14ac:dyDescent="0.3">
      <c r="Q33" s="20"/>
    </row>
    <row r="34" spans="4:17" x14ac:dyDescent="0.3">
      <c r="D34"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Costs</vt:lpstr>
      <vt:lpstr>Look up Table</vt:lpstr>
      <vt:lpstr>Travel Delay Reductions</vt:lpstr>
      <vt:lpstr>Travel Time Benefits</vt:lpstr>
      <vt:lpstr>Accident Reductions</vt:lpstr>
      <vt:lpstr>Monetized Safety Benefits</vt:lpstr>
      <vt:lpstr>Sheet2</vt:lpstr>
      <vt:lpstr>Sheet1</vt:lpstr>
      <vt:lpstr>Benefit Cost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 Hirschman</dc:creator>
  <cp:lastModifiedBy>Ira Hirschman</cp:lastModifiedBy>
  <dcterms:created xsi:type="dcterms:W3CDTF">2019-10-06T09:35:23Z</dcterms:created>
  <dcterms:modified xsi:type="dcterms:W3CDTF">2020-02-23T20:53:44Z</dcterms:modified>
</cp:coreProperties>
</file>