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U:\SAPM\Grants\Bridge Investment Program\2022\Bridge Projects\I-40 over Portland Ave\Benefit Cost Analysis\"/>
    </mc:Choice>
  </mc:AlternateContent>
  <xr:revisionPtr revIDLastSave="0" documentId="8_{E5FC3409-3A37-484A-A508-443C25451908}" xr6:coauthVersionLast="47" xr6:coauthVersionMax="47" xr10:uidLastSave="{00000000-0000-0000-0000-000000000000}"/>
  <bookViews>
    <workbookView xWindow="-120" yWindow="-120" windowWidth="29040" windowHeight="15840" tabRatio="641" xr2:uid="{D9592330-F94D-418B-A55C-A04D45C285FD}"/>
  </bookViews>
  <sheets>
    <sheet name="Results" sheetId="3" r:id="rId1"/>
    <sheet name="Financial Return" sheetId="22" state="hidden" r:id="rId2"/>
    <sheet name="Costs" sheetId="1" r:id="rId3"/>
    <sheet name="Delay Savings - Bridge Link" sheetId="23" state="hidden" r:id="rId4"/>
    <sheet name="Maintenance $ Cost Savings" sheetId="28" r:id="rId5"/>
    <sheet name="Unaccomodated Rail Freight" sheetId="25" state="hidden" r:id="rId6"/>
    <sheet name="Truck VMT VHT reductions" sheetId="20" state="hidden" r:id="rId7"/>
    <sheet name="Emissions" sheetId="14" state="hidden" r:id="rId8"/>
    <sheet name="Crash Reduction" sheetId="6" state="hidden" r:id="rId9"/>
    <sheet name="Land Productivity Benefits" sheetId="16" state="hidden" r:id="rId10"/>
    <sheet name="Reduced Pavement Damage" sheetId="21" state="hidden" r:id="rId11"/>
    <sheet name="Travel Time Savings - Hours" sheetId="31" r:id="rId12"/>
    <sheet name="TT $ Benefits " sheetId="34" r:id="rId13"/>
    <sheet name="Crash Reduction $ Benefit" sheetId="40" r:id="rId14"/>
    <sheet name="Fuel Savings $ Benefits " sheetId="35" r:id="rId15"/>
    <sheet name="Supply Chain $ Benefits" sheetId="41" r:id="rId16"/>
    <sheet name="Emission $ Benefits" sheetId="33" r:id="rId17"/>
    <sheet name="Look Up Data" sheetId="5" r:id="rId18"/>
    <sheet name="Avoided Emissions Summary" sheetId="38" state="hidden" r:id="rId19"/>
    <sheet name="Sheet1" sheetId="9" state="hidden" r:id="rId20"/>
  </sheets>
  <externalReferences>
    <externalReference r:id="rId2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36" i="3" l="1"/>
  <c r="AJ26" i="3"/>
  <c r="AJ25" i="3"/>
  <c r="AJ24" i="3"/>
  <c r="AJ22" i="3"/>
  <c r="AJ21" i="3"/>
  <c r="AJ20" i="3"/>
  <c r="AJ19" i="3"/>
  <c r="AJ17" i="3"/>
  <c r="J25" i="31"/>
  <c r="B8" i="5" s="1"/>
  <c r="F19" i="40" s="1"/>
  <c r="C9" i="35"/>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I7" i="3"/>
  <c r="AH7" i="3"/>
  <c r="AG7" i="3"/>
  <c r="AF7" i="3"/>
  <c r="AE7" i="3"/>
  <c r="AD7" i="3"/>
  <c r="AC7" i="3"/>
  <c r="AB7" i="3"/>
  <c r="AA7" i="3"/>
  <c r="Z7" i="3"/>
  <c r="Y7" i="3"/>
  <c r="X7" i="3"/>
  <c r="W7" i="3"/>
  <c r="V7" i="3"/>
  <c r="U7" i="3"/>
  <c r="T7" i="3"/>
  <c r="S7" i="3"/>
  <c r="R7" i="3"/>
  <c r="Q7" i="3"/>
  <c r="P7" i="3"/>
  <c r="O7" i="3"/>
  <c r="N7" i="3"/>
  <c r="M7" i="3"/>
  <c r="L7" i="3"/>
  <c r="AI8" i="3"/>
  <c r="AH8" i="3"/>
  <c r="AG8" i="3"/>
  <c r="AF8" i="3"/>
  <c r="AE8" i="3"/>
  <c r="AD8" i="3"/>
  <c r="AC8" i="3"/>
  <c r="AB8" i="3"/>
  <c r="AA8" i="3"/>
  <c r="Z8" i="3"/>
  <c r="Y8" i="3"/>
  <c r="X8" i="3"/>
  <c r="W8" i="3"/>
  <c r="V8" i="3"/>
  <c r="U8" i="3"/>
  <c r="T8" i="3"/>
  <c r="S8" i="3"/>
  <c r="R8" i="3"/>
  <c r="Q8" i="3"/>
  <c r="P8" i="3"/>
  <c r="O8" i="3"/>
  <c r="N8" i="3"/>
  <c r="M8" i="3"/>
  <c r="L8" i="3"/>
  <c r="K7" i="3"/>
  <c r="K8" i="3"/>
  <c r="E6" i="33"/>
  <c r="F6" i="33"/>
  <c r="G6" i="33"/>
  <c r="H6" i="33"/>
  <c r="I6" i="33"/>
  <c r="J6" i="33"/>
  <c r="K6" i="33"/>
  <c r="L6" i="33"/>
  <c r="M6" i="33"/>
  <c r="N6" i="33"/>
  <c r="O6" i="33"/>
  <c r="P6" i="33"/>
  <c r="Q6" i="33"/>
  <c r="R6" i="33"/>
  <c r="S6" i="33"/>
  <c r="T6" i="33"/>
  <c r="U6" i="33"/>
  <c r="V6" i="33"/>
  <c r="W6" i="33"/>
  <c r="X6" i="33"/>
  <c r="Y6" i="33"/>
  <c r="Z6" i="33"/>
  <c r="D6" i="33"/>
  <c r="C6" i="33"/>
  <c r="G93" i="5"/>
  <c r="E93" i="5"/>
  <c r="C93" i="5"/>
  <c r="G92" i="5"/>
  <c r="E92" i="5"/>
  <c r="C92" i="5"/>
  <c r="G91" i="5"/>
  <c r="E91" i="5"/>
  <c r="C91" i="5"/>
  <c r="G90" i="5"/>
  <c r="E90" i="5"/>
  <c r="C90" i="5"/>
  <c r="G89" i="5"/>
  <c r="E89" i="5"/>
  <c r="C89" i="5"/>
  <c r="D10" i="35"/>
  <c r="E10" i="35"/>
  <c r="F10" i="35"/>
  <c r="G10" i="35"/>
  <c r="H10" i="35"/>
  <c r="I10" i="35"/>
  <c r="J10" i="35"/>
  <c r="K10" i="35"/>
  <c r="L10" i="35"/>
  <c r="M10" i="35"/>
  <c r="N10" i="35"/>
  <c r="O10" i="35"/>
  <c r="P10" i="35"/>
  <c r="Q10" i="35"/>
  <c r="R10" i="35"/>
  <c r="S10" i="35"/>
  <c r="T10" i="35"/>
  <c r="U10" i="35"/>
  <c r="V10" i="35"/>
  <c r="W10" i="35"/>
  <c r="X10" i="35"/>
  <c r="Y10" i="35"/>
  <c r="Z10" i="35"/>
  <c r="AA10" i="35"/>
  <c r="C11" i="35"/>
  <c r="C12" i="35" s="1"/>
  <c r="C14" i="35" s="1"/>
  <c r="C16" i="35" s="1"/>
  <c r="C13" i="35"/>
  <c r="B18" i="35"/>
  <c r="M66" i="31"/>
  <c r="M65" i="31"/>
  <c r="L66" i="31"/>
  <c r="L65" i="31"/>
  <c r="C25" i="31"/>
  <c r="E25" i="31"/>
  <c r="G25" i="31"/>
  <c r="C21" i="31"/>
  <c r="E21" i="31"/>
  <c r="G21" i="31"/>
  <c r="B15" i="41"/>
  <c r="C78" i="5"/>
  <c r="B16" i="41"/>
  <c r="O65" i="31"/>
  <c r="O66" i="31"/>
  <c r="O68" i="31"/>
  <c r="C8" i="31"/>
  <c r="D8" i="31"/>
  <c r="E8" i="31" s="1"/>
  <c r="I23" i="28"/>
  <c r="I24" i="28"/>
  <c r="I25" i="28"/>
  <c r="I26" i="28"/>
  <c r="I27" i="28"/>
  <c r="I28" i="28"/>
  <c r="I29" i="28"/>
  <c r="I30" i="28"/>
  <c r="I31" i="28"/>
  <c r="I32" i="28"/>
  <c r="I33" i="28"/>
  <c r="I34" i="28"/>
  <c r="I35" i="28"/>
  <c r="I36" i="28"/>
  <c r="I37" i="28"/>
  <c r="I38" i="28"/>
  <c r="I39" i="28"/>
  <c r="I40" i="28"/>
  <c r="H40" i="28"/>
  <c r="E20" i="28"/>
  <c r="E21" i="28"/>
  <c r="E22" i="28"/>
  <c r="E23" i="28"/>
  <c r="E24" i="28"/>
  <c r="E25" i="28"/>
  <c r="E26" i="28"/>
  <c r="E27" i="28"/>
  <c r="E28" i="28"/>
  <c r="E29" i="28"/>
  <c r="E30" i="28"/>
  <c r="E31" i="28"/>
  <c r="E32" i="28"/>
  <c r="E33" i="28"/>
  <c r="E34" i="28"/>
  <c r="E35" i="28"/>
  <c r="E36" i="28"/>
  <c r="E37" i="28"/>
  <c r="E38" i="28"/>
  <c r="E39" i="28"/>
  <c r="E40" i="28"/>
  <c r="D40" i="28"/>
  <c r="C40" i="28"/>
  <c r="B40" i="28"/>
  <c r="AF14" i="28"/>
  <c r="AF13" i="28"/>
  <c r="AF15" i="28"/>
  <c r="AH17" i="3"/>
  <c r="D4" i="41"/>
  <c r="E4" i="41"/>
  <c r="F4" i="41"/>
  <c r="G4" i="41"/>
  <c r="H4" i="41"/>
  <c r="I4" i="41"/>
  <c r="J4" i="41"/>
  <c r="K4" i="41"/>
  <c r="L4" i="41"/>
  <c r="M4" i="41"/>
  <c r="N4" i="41"/>
  <c r="O4" i="41"/>
  <c r="P4" i="41"/>
  <c r="Q4" i="41"/>
  <c r="R4" i="41"/>
  <c r="S4" i="41"/>
  <c r="T4" i="41"/>
  <c r="U4" i="41"/>
  <c r="V4" i="41"/>
  <c r="W4" i="41"/>
  <c r="X4" i="41"/>
  <c r="Y4" i="41"/>
  <c r="Z4" i="41"/>
  <c r="AA4" i="41"/>
  <c r="AB4" i="41"/>
  <c r="E3" i="41"/>
  <c r="F3" i="41"/>
  <c r="G3" i="41"/>
  <c r="H3" i="41"/>
  <c r="I3" i="41"/>
  <c r="J3" i="41"/>
  <c r="K3" i="41"/>
  <c r="L3" i="41"/>
  <c r="M3" i="41"/>
  <c r="N3" i="41"/>
  <c r="O3" i="41"/>
  <c r="P3" i="41"/>
  <c r="Q3" i="41"/>
  <c r="R3" i="41"/>
  <c r="S3" i="41"/>
  <c r="T3" i="41"/>
  <c r="U3" i="41"/>
  <c r="V3" i="41"/>
  <c r="W3" i="41"/>
  <c r="X3" i="41"/>
  <c r="Y3" i="41"/>
  <c r="Z3" i="41"/>
  <c r="AA3" i="41"/>
  <c r="AB3" i="41"/>
  <c r="D7" i="3"/>
  <c r="D11" i="3"/>
  <c r="C70" i="5"/>
  <c r="J10" i="1"/>
  <c r="C9" i="1"/>
  <c r="I10" i="1"/>
  <c r="N65" i="31"/>
  <c r="N66" i="31"/>
  <c r="N68" i="31"/>
  <c r="C7" i="31"/>
  <c r="B5" i="40"/>
  <c r="H10" i="1"/>
  <c r="C10" i="1"/>
  <c r="AH12" i="1"/>
  <c r="C12" i="1"/>
  <c r="AB14" i="28"/>
  <c r="AB13" i="28"/>
  <c r="AB15" i="28"/>
  <c r="H14" i="28"/>
  <c r="H15" i="28"/>
  <c r="AG14" i="28"/>
  <c r="AE14" i="28"/>
  <c r="AD14" i="28"/>
  <c r="AC14" i="28"/>
  <c r="AA14" i="28"/>
  <c r="AA13" i="28"/>
  <c r="AA15" i="28"/>
  <c r="Z14" i="28"/>
  <c r="Z13" i="28"/>
  <c r="Z15" i="28"/>
  <c r="Y14" i="28"/>
  <c r="X14" i="28"/>
  <c r="X13" i="28"/>
  <c r="X15" i="28"/>
  <c r="W14" i="28"/>
  <c r="V14" i="28"/>
  <c r="U14" i="28"/>
  <c r="T14" i="28"/>
  <c r="T13" i="28"/>
  <c r="T15" i="28"/>
  <c r="S14" i="28"/>
  <c r="S13" i="28"/>
  <c r="S15" i="28"/>
  <c r="R14" i="28"/>
  <c r="R13" i="28"/>
  <c r="R15" i="28"/>
  <c r="Q14" i="28"/>
  <c r="P14" i="28"/>
  <c r="P13" i="28"/>
  <c r="P15" i="28"/>
  <c r="O14" i="28"/>
  <c r="N14" i="28"/>
  <c r="M14" i="28"/>
  <c r="L14" i="28"/>
  <c r="L13" i="28"/>
  <c r="L15" i="28"/>
  <c r="K14" i="28"/>
  <c r="K13" i="28"/>
  <c r="K15" i="28"/>
  <c r="J14" i="28"/>
  <c r="J13" i="28"/>
  <c r="J15" i="28"/>
  <c r="I14" i="28"/>
  <c r="G14" i="28"/>
  <c r="F14" i="28"/>
  <c r="AG13" i="28"/>
  <c r="AE13" i="28"/>
  <c r="AD13" i="28"/>
  <c r="AC13" i="28"/>
  <c r="Y13" i="28"/>
  <c r="W13" i="28"/>
  <c r="V13" i="28"/>
  <c r="U13" i="28"/>
  <c r="Q13" i="28"/>
  <c r="O13" i="28"/>
  <c r="N13" i="28"/>
  <c r="M13" i="28"/>
  <c r="I13" i="28"/>
  <c r="B6" i="40"/>
  <c r="B7" i="40"/>
  <c r="B8" i="40"/>
  <c r="B9" i="40"/>
  <c r="J9" i="40"/>
  <c r="J8" i="40"/>
  <c r="J7" i="40"/>
  <c r="J6" i="40"/>
  <c r="I8" i="40"/>
  <c r="I7" i="40"/>
  <c r="G8" i="40"/>
  <c r="G7" i="40"/>
  <c r="G6" i="40"/>
  <c r="I6" i="40"/>
  <c r="E8" i="40"/>
  <c r="E7" i="40"/>
  <c r="E6" i="40"/>
  <c r="C8" i="40"/>
  <c r="C7" i="40"/>
  <c r="C6" i="40"/>
  <c r="J5" i="40"/>
  <c r="G23" i="31"/>
  <c r="E23" i="31"/>
  <c r="C23" i="31"/>
  <c r="C19" i="31"/>
  <c r="C28" i="31"/>
  <c r="G19" i="31"/>
  <c r="E19" i="31"/>
  <c r="I15" i="28"/>
  <c r="Q15" i="28"/>
  <c r="Y15" i="28"/>
  <c r="AG15" i="28"/>
  <c r="M15" i="28"/>
  <c r="U15" i="28"/>
  <c r="AC15" i="28"/>
  <c r="N15" i="28"/>
  <c r="V15" i="28"/>
  <c r="AD15" i="28"/>
  <c r="G15" i="28"/>
  <c r="O15" i="28"/>
  <c r="W15" i="28"/>
  <c r="AE15" i="28"/>
  <c r="C29" i="31"/>
  <c r="E29" i="31"/>
  <c r="G29" i="31"/>
  <c r="C30" i="31"/>
  <c r="E32" i="31"/>
  <c r="G32" i="31"/>
  <c r="E28" i="31"/>
  <c r="E30" i="31"/>
  <c r="G28" i="31"/>
  <c r="C31" i="31"/>
  <c r="E31" i="31"/>
  <c r="G31" i="31"/>
  <c r="C32" i="31"/>
  <c r="G30" i="31"/>
  <c r="D7" i="31"/>
  <c r="E7" i="31"/>
  <c r="H6" i="40"/>
  <c r="H7" i="40"/>
  <c r="H8" i="40"/>
  <c r="H9" i="40"/>
  <c r="H5" i="40"/>
  <c r="F6" i="40"/>
  <c r="F7" i="40"/>
  <c r="F8" i="40"/>
  <c r="F9" i="40"/>
  <c r="F5" i="40"/>
  <c r="D6" i="40"/>
  <c r="D7" i="40"/>
  <c r="D8" i="40"/>
  <c r="D9" i="40"/>
  <c r="D5" i="40"/>
  <c r="K12" i="40"/>
  <c r="J12" i="40"/>
  <c r="I12" i="40"/>
  <c r="H12" i="40"/>
  <c r="G12" i="40"/>
  <c r="F12" i="40"/>
  <c r="M12" i="40"/>
  <c r="N12" i="40"/>
  <c r="O12" i="40"/>
  <c r="P12" i="40"/>
  <c r="Q12" i="40"/>
  <c r="R12" i="40"/>
  <c r="S12" i="40"/>
  <c r="T12" i="40"/>
  <c r="U12" i="40"/>
  <c r="V12" i="40"/>
  <c r="W12" i="40"/>
  <c r="X12" i="40"/>
  <c r="Y12" i="40"/>
  <c r="Z12" i="40"/>
  <c r="AA12" i="40"/>
  <c r="AB12" i="40"/>
  <c r="AC12" i="40"/>
  <c r="AD12" i="40"/>
  <c r="AE12" i="40"/>
  <c r="AF12" i="40"/>
  <c r="AG12" i="40"/>
  <c r="AH12" i="40"/>
  <c r="AI12" i="40"/>
  <c r="AJ12" i="40"/>
  <c r="F7" i="31"/>
  <c r="F67" i="5"/>
  <c r="G67" i="5"/>
  <c r="H67" i="5"/>
  <c r="I67" i="5"/>
  <c r="J67" i="5"/>
  <c r="K67" i="5"/>
  <c r="K16" i="40"/>
  <c r="K24" i="40" s="1"/>
  <c r="K34" i="40" s="1"/>
  <c r="G16" i="40"/>
  <c r="F15" i="28"/>
  <c r="M13" i="40"/>
  <c r="N13" i="40"/>
  <c r="O13" i="40"/>
  <c r="P13" i="40"/>
  <c r="Q13" i="40"/>
  <c r="R13" i="40"/>
  <c r="S13" i="40"/>
  <c r="T13" i="40"/>
  <c r="U13" i="40"/>
  <c r="V13" i="40"/>
  <c r="W13" i="40"/>
  <c r="X13" i="40"/>
  <c r="Y13" i="40"/>
  <c r="Z13" i="40"/>
  <c r="AA13" i="40"/>
  <c r="AB13" i="40"/>
  <c r="AC13" i="40"/>
  <c r="AD13" i="40"/>
  <c r="AE13" i="40"/>
  <c r="AF13" i="40"/>
  <c r="AG13" i="40"/>
  <c r="AH13" i="40"/>
  <c r="AI13" i="40"/>
  <c r="AJ13" i="40"/>
  <c r="F68" i="5"/>
  <c r="G68" i="5"/>
  <c r="L67" i="5"/>
  <c r="M67" i="5"/>
  <c r="H20" i="40"/>
  <c r="I17" i="40"/>
  <c r="J18" i="40"/>
  <c r="G18" i="40"/>
  <c r="C4" i="33"/>
  <c r="D4" i="33"/>
  <c r="E4" i="33"/>
  <c r="F4" i="33"/>
  <c r="G4" i="33"/>
  <c r="H4" i="33"/>
  <c r="I4" i="33"/>
  <c r="J4" i="33"/>
  <c r="K4" i="33"/>
  <c r="L4" i="33"/>
  <c r="M4" i="33"/>
  <c r="N4" i="33"/>
  <c r="O4" i="33"/>
  <c r="P4" i="33"/>
  <c r="Q4" i="33"/>
  <c r="R4" i="33"/>
  <c r="S4" i="33"/>
  <c r="T4" i="33"/>
  <c r="U4" i="33"/>
  <c r="V4" i="33"/>
  <c r="W4" i="33"/>
  <c r="X4" i="33"/>
  <c r="Y4" i="33"/>
  <c r="Z4" i="33"/>
  <c r="AA4" i="33"/>
  <c r="D4" i="35"/>
  <c r="E4" i="35"/>
  <c r="F4" i="35"/>
  <c r="G4" i="35"/>
  <c r="H4" i="35"/>
  <c r="I4" i="35"/>
  <c r="J4" i="35"/>
  <c r="K4" i="35"/>
  <c r="L4" i="35"/>
  <c r="M4" i="35"/>
  <c r="N4" i="35"/>
  <c r="O4" i="35"/>
  <c r="P4" i="35"/>
  <c r="Q4" i="35"/>
  <c r="R4" i="35"/>
  <c r="S4" i="35"/>
  <c r="T4" i="35"/>
  <c r="U4" i="35"/>
  <c r="V4" i="35"/>
  <c r="W4" i="35"/>
  <c r="X4" i="35"/>
  <c r="Y4" i="35"/>
  <c r="Z4" i="35"/>
  <c r="AA4" i="35"/>
  <c r="AB4" i="35"/>
  <c r="E3" i="3"/>
  <c r="D8" i="3"/>
  <c r="C11" i="1"/>
  <c r="I32" i="5"/>
  <c r="I31" i="5"/>
  <c r="I30" i="5"/>
  <c r="I29" i="5"/>
  <c r="I27" i="5"/>
  <c r="I26" i="5"/>
  <c r="I25" i="5"/>
  <c r="I24" i="5"/>
  <c r="I22" i="5"/>
  <c r="I21" i="5"/>
  <c r="I20" i="5"/>
  <c r="I19" i="5"/>
  <c r="F35" i="5"/>
  <c r="G35" i="5"/>
  <c r="H35" i="5"/>
  <c r="I35" i="5"/>
  <c r="H68" i="5"/>
  <c r="N67" i="5"/>
  <c r="I68" i="5"/>
  <c r="O67" i="5"/>
  <c r="D3" i="33"/>
  <c r="E3" i="33"/>
  <c r="F3" i="33"/>
  <c r="G3" i="33"/>
  <c r="H3" i="33"/>
  <c r="I3" i="33"/>
  <c r="J3" i="33"/>
  <c r="K3" i="33"/>
  <c r="L3" i="33"/>
  <c r="M3" i="33"/>
  <c r="N3" i="33"/>
  <c r="O3" i="33"/>
  <c r="P3" i="33"/>
  <c r="Q3" i="33"/>
  <c r="R3" i="33"/>
  <c r="S3" i="33"/>
  <c r="T3" i="33"/>
  <c r="U3" i="33"/>
  <c r="V3" i="33"/>
  <c r="W3" i="33"/>
  <c r="X3" i="33"/>
  <c r="Y3" i="33"/>
  <c r="Z3" i="33"/>
  <c r="AA3" i="33"/>
  <c r="E3" i="35"/>
  <c r="F3" i="35"/>
  <c r="G3" i="35"/>
  <c r="H3" i="35"/>
  <c r="I3" i="35"/>
  <c r="J3" i="35"/>
  <c r="K3" i="35"/>
  <c r="L3" i="35"/>
  <c r="M3" i="35"/>
  <c r="N3" i="35"/>
  <c r="O3" i="35"/>
  <c r="P3" i="35"/>
  <c r="Q3" i="35"/>
  <c r="R3" i="35"/>
  <c r="S3" i="35"/>
  <c r="T3" i="35"/>
  <c r="U3" i="35"/>
  <c r="V3" i="35"/>
  <c r="W3" i="35"/>
  <c r="X3" i="35"/>
  <c r="Y3" i="35"/>
  <c r="Z3" i="35"/>
  <c r="AA3" i="35"/>
  <c r="AB3" i="35"/>
  <c r="D4" i="34"/>
  <c r="E4" i="34"/>
  <c r="F4" i="34"/>
  <c r="G4" i="34"/>
  <c r="H4" i="34"/>
  <c r="I4" i="34"/>
  <c r="J4" i="34"/>
  <c r="K4" i="34"/>
  <c r="L4" i="34"/>
  <c r="M4" i="34"/>
  <c r="N4" i="34"/>
  <c r="O4" i="34"/>
  <c r="P4" i="34"/>
  <c r="Q4" i="34"/>
  <c r="R4" i="34"/>
  <c r="S4" i="34"/>
  <c r="T4" i="34"/>
  <c r="U4" i="34"/>
  <c r="V4" i="34"/>
  <c r="W4" i="34"/>
  <c r="X4" i="34"/>
  <c r="Y4" i="34"/>
  <c r="Z4" i="34"/>
  <c r="AA4" i="34"/>
  <c r="AB4" i="34"/>
  <c r="E3" i="34"/>
  <c r="F3" i="34"/>
  <c r="G3" i="34"/>
  <c r="H3" i="34"/>
  <c r="I3" i="34"/>
  <c r="J3" i="34"/>
  <c r="K3" i="34"/>
  <c r="L3" i="34"/>
  <c r="M3" i="34"/>
  <c r="N3" i="34"/>
  <c r="O3" i="34"/>
  <c r="P3" i="34"/>
  <c r="Q3" i="34"/>
  <c r="R3" i="34"/>
  <c r="S3" i="34"/>
  <c r="T3" i="34"/>
  <c r="U3" i="34"/>
  <c r="V3" i="34"/>
  <c r="W3" i="34"/>
  <c r="X3" i="34"/>
  <c r="Y3" i="34"/>
  <c r="Z3" i="34"/>
  <c r="AA3" i="34"/>
  <c r="AB3" i="34"/>
  <c r="D4" i="31"/>
  <c r="E4" i="31"/>
  <c r="F4" i="31"/>
  <c r="G4" i="31"/>
  <c r="H4" i="31"/>
  <c r="I4" i="31"/>
  <c r="J4" i="31"/>
  <c r="K4" i="31"/>
  <c r="L4" i="31"/>
  <c r="M4" i="31"/>
  <c r="N4" i="31"/>
  <c r="O4" i="31"/>
  <c r="P4" i="31"/>
  <c r="Q4" i="31"/>
  <c r="R4" i="31"/>
  <c r="S4" i="31"/>
  <c r="T4" i="31"/>
  <c r="U4" i="31"/>
  <c r="V4" i="31"/>
  <c r="W4" i="31"/>
  <c r="X4" i="31"/>
  <c r="Y4" i="31"/>
  <c r="Z4" i="31"/>
  <c r="AA4" i="31"/>
  <c r="AB4" i="31"/>
  <c r="AC4" i="31"/>
  <c r="F3" i="31"/>
  <c r="G3" i="31"/>
  <c r="H3" i="31"/>
  <c r="I3" i="31"/>
  <c r="J3" i="31"/>
  <c r="K3" i="31"/>
  <c r="L3" i="31"/>
  <c r="M3" i="31"/>
  <c r="N3" i="31"/>
  <c r="O3" i="31"/>
  <c r="P3" i="31"/>
  <c r="Q3" i="31"/>
  <c r="R3" i="31"/>
  <c r="S3" i="31"/>
  <c r="T3" i="31"/>
  <c r="U3" i="31"/>
  <c r="V3" i="31"/>
  <c r="W3" i="31"/>
  <c r="X3" i="31"/>
  <c r="Y3" i="31"/>
  <c r="Z3" i="31"/>
  <c r="AA3" i="31"/>
  <c r="AB3" i="31"/>
  <c r="AC3" i="31"/>
  <c r="C4" i="28"/>
  <c r="D4" i="28"/>
  <c r="E4" i="28"/>
  <c r="F4" i="28"/>
  <c r="G4" i="28"/>
  <c r="H4" i="28"/>
  <c r="I4" i="28"/>
  <c r="J4" i="28"/>
  <c r="K4" i="28"/>
  <c r="L4" i="28"/>
  <c r="M4" i="28"/>
  <c r="N4" i="28"/>
  <c r="O4" i="28"/>
  <c r="P4" i="28"/>
  <c r="Q4" i="28"/>
  <c r="R4" i="28"/>
  <c r="S4" i="28"/>
  <c r="T4" i="28"/>
  <c r="U4" i="28"/>
  <c r="V4" i="28"/>
  <c r="W4" i="28"/>
  <c r="X4" i="28"/>
  <c r="Y4" i="28"/>
  <c r="Z4" i="28"/>
  <c r="AA4" i="28"/>
  <c r="AB4" i="28"/>
  <c r="AC4" i="28"/>
  <c r="AD4" i="28"/>
  <c r="AE4" i="28"/>
  <c r="AF4" i="28"/>
  <c r="AG4" i="28"/>
  <c r="J3" i="28"/>
  <c r="K3" i="28"/>
  <c r="L3" i="28"/>
  <c r="M3" i="28"/>
  <c r="N3" i="28"/>
  <c r="O3" i="28"/>
  <c r="P3" i="28"/>
  <c r="Q3" i="28"/>
  <c r="R3" i="28"/>
  <c r="S3" i="28"/>
  <c r="T3" i="28"/>
  <c r="U3" i="28"/>
  <c r="V3" i="28"/>
  <c r="W3" i="28"/>
  <c r="X3" i="28"/>
  <c r="Y3" i="28"/>
  <c r="Z3" i="28"/>
  <c r="AA3" i="28"/>
  <c r="AB3" i="28"/>
  <c r="AC3" i="28"/>
  <c r="AD3" i="28"/>
  <c r="AE3" i="28"/>
  <c r="AF3" i="28"/>
  <c r="AG3" i="28"/>
  <c r="L3" i="1"/>
  <c r="M3" i="1"/>
  <c r="N3" i="1"/>
  <c r="O3" i="1"/>
  <c r="P3" i="1"/>
  <c r="Q3" i="1"/>
  <c r="R3" i="1"/>
  <c r="S3" i="1"/>
  <c r="T3" i="1"/>
  <c r="U3" i="1"/>
  <c r="V3" i="1"/>
  <c r="W3" i="1"/>
  <c r="X3" i="1"/>
  <c r="L5" i="3"/>
  <c r="M5" i="3"/>
  <c r="N5" i="3"/>
  <c r="O5" i="3"/>
  <c r="P5" i="3"/>
  <c r="Q5" i="3"/>
  <c r="R5" i="3"/>
  <c r="S5" i="3"/>
  <c r="T5" i="3"/>
  <c r="U5" i="3"/>
  <c r="V5" i="3"/>
  <c r="W5" i="3"/>
  <c r="X5" i="3"/>
  <c r="Y5" i="3"/>
  <c r="Z5" i="3"/>
  <c r="AA5" i="3"/>
  <c r="AB5" i="3"/>
  <c r="AC5" i="3"/>
  <c r="AD5" i="3"/>
  <c r="AE5" i="3"/>
  <c r="AF5" i="3"/>
  <c r="AG5" i="3"/>
  <c r="AH5" i="3"/>
  <c r="AI5" i="3"/>
  <c r="J68" i="5"/>
  <c r="H7" i="22"/>
  <c r="J7" i="22"/>
  <c r="E26" i="14"/>
  <c r="F7" i="6"/>
  <c r="A16" i="6"/>
  <c r="B40" i="6"/>
  <c r="B6" i="21"/>
  <c r="C6" i="21"/>
  <c r="D6" i="21"/>
  <c r="E6" i="21"/>
  <c r="F6" i="21"/>
  <c r="G6" i="21"/>
  <c r="H6" i="21"/>
  <c r="I6" i="21"/>
  <c r="J6" i="21"/>
  <c r="K6" i="21"/>
  <c r="L6" i="21"/>
  <c r="M6" i="21"/>
  <c r="N6" i="21"/>
  <c r="O6" i="21"/>
  <c r="P6" i="21"/>
  <c r="Q6" i="21"/>
  <c r="R6" i="21"/>
  <c r="S6" i="21"/>
  <c r="T6" i="21"/>
  <c r="U6" i="21"/>
  <c r="F3" i="3"/>
  <c r="G3" i="3"/>
  <c r="H3" i="3"/>
  <c r="I3" i="3"/>
  <c r="J3" i="3"/>
  <c r="K3" i="3"/>
  <c r="L3" i="3"/>
  <c r="M3" i="3"/>
  <c r="N3" i="3"/>
  <c r="O3" i="3"/>
  <c r="P3" i="3"/>
  <c r="Q3" i="3"/>
  <c r="R3" i="3"/>
  <c r="S3" i="3"/>
  <c r="T3" i="3"/>
  <c r="U3" i="3"/>
  <c r="V3" i="3"/>
  <c r="W3" i="3"/>
  <c r="X3" i="3"/>
  <c r="Y3" i="3"/>
  <c r="Z3" i="3"/>
  <c r="AA3" i="3"/>
  <c r="AB3" i="3"/>
  <c r="AC3" i="3"/>
  <c r="AD3" i="3"/>
  <c r="AE3" i="3"/>
  <c r="AF3" i="3"/>
  <c r="AG3" i="3"/>
  <c r="AH3" i="3"/>
  <c r="AI3" i="3"/>
  <c r="E4" i="1"/>
  <c r="F4" i="1"/>
  <c r="G4" i="1"/>
  <c r="H4" i="1"/>
  <c r="I4" i="1"/>
  <c r="J4" i="1"/>
  <c r="K4" i="1"/>
  <c r="L4" i="1"/>
  <c r="M4" i="1"/>
  <c r="N4" i="1"/>
  <c r="O4" i="1"/>
  <c r="P4" i="1"/>
  <c r="Q4" i="1"/>
  <c r="R4" i="1"/>
  <c r="S4" i="1"/>
  <c r="T4" i="1"/>
  <c r="U4" i="1"/>
  <c r="V4" i="1"/>
  <c r="W4" i="1"/>
  <c r="X4" i="1"/>
  <c r="Y4" i="1"/>
  <c r="Z4" i="1"/>
  <c r="AA4" i="1"/>
  <c r="AB4" i="1"/>
  <c r="AC4" i="1"/>
  <c r="AD4" i="1"/>
  <c r="AE4" i="1"/>
  <c r="AF4" i="1"/>
  <c r="AG4" i="1"/>
  <c r="AH4" i="1"/>
  <c r="Y3" i="1"/>
  <c r="Z3" i="1"/>
  <c r="AA3" i="1"/>
  <c r="AB3" i="1"/>
  <c r="AC3" i="1"/>
  <c r="AD3" i="1"/>
  <c r="AE3" i="1"/>
  <c r="AF3" i="1"/>
  <c r="AG3" i="1"/>
  <c r="AH3" i="1"/>
  <c r="D3" i="23"/>
  <c r="E3" i="23"/>
  <c r="F3" i="23"/>
  <c r="G3" i="23"/>
  <c r="H3" i="23"/>
  <c r="I3" i="23"/>
  <c r="J3" i="23"/>
  <c r="K3" i="23"/>
  <c r="L3" i="23"/>
  <c r="M3" i="23"/>
  <c r="N3" i="23"/>
  <c r="O3" i="23"/>
  <c r="P3" i="23"/>
  <c r="Q3" i="23"/>
  <c r="R3" i="23"/>
  <c r="S3" i="23"/>
  <c r="T3" i="23"/>
  <c r="U3" i="23"/>
  <c r="V3" i="23"/>
  <c r="W3" i="23"/>
  <c r="X3" i="23"/>
  <c r="Y3" i="23"/>
  <c r="Z3" i="23"/>
  <c r="AA3" i="23"/>
  <c r="AA4" i="22"/>
  <c r="Z4" i="22"/>
  <c r="Y4" i="22"/>
  <c r="X4" i="22"/>
  <c r="W4" i="22"/>
  <c r="V4" i="22"/>
  <c r="U4" i="22"/>
  <c r="T4" i="22"/>
  <c r="S4" i="22"/>
  <c r="R4" i="22"/>
  <c r="Q4" i="22"/>
  <c r="P4" i="22"/>
  <c r="O4" i="22"/>
  <c r="N4" i="22"/>
  <c r="M4" i="22"/>
  <c r="L4" i="22"/>
  <c r="K4" i="22"/>
  <c r="J4" i="22"/>
  <c r="I4" i="22"/>
  <c r="H4" i="22"/>
  <c r="G4" i="22"/>
  <c r="F4" i="22"/>
  <c r="E4" i="22"/>
  <c r="D4" i="22"/>
  <c r="C4" i="22"/>
  <c r="H13" i="22"/>
  <c r="H14" i="22"/>
  <c r="H15" i="22"/>
  <c r="I13" i="22"/>
  <c r="I14" i="22"/>
  <c r="I15" i="22"/>
  <c r="J13" i="22"/>
  <c r="J14" i="22"/>
  <c r="J15" i="22"/>
  <c r="K13" i="22"/>
  <c r="K14" i="22"/>
  <c r="K15" i="22"/>
  <c r="L13" i="22"/>
  <c r="L14" i="22"/>
  <c r="L15" i="22"/>
  <c r="M13" i="22"/>
  <c r="M14" i="22"/>
  <c r="M15" i="22"/>
  <c r="N13" i="22"/>
  <c r="N14" i="22"/>
  <c r="N15" i="22"/>
  <c r="O13" i="22"/>
  <c r="O14" i="22"/>
  <c r="O15" i="22"/>
  <c r="P13" i="22"/>
  <c r="P14" i="22"/>
  <c r="P15" i="22"/>
  <c r="Q13" i="22"/>
  <c r="Q14" i="22"/>
  <c r="Q15" i="22"/>
  <c r="R13" i="22"/>
  <c r="R14" i="22"/>
  <c r="R15" i="22"/>
  <c r="S13" i="22"/>
  <c r="S14" i="22"/>
  <c r="S15" i="22"/>
  <c r="T13" i="22"/>
  <c r="T14" i="22"/>
  <c r="T15" i="22"/>
  <c r="U13" i="22"/>
  <c r="U14" i="22"/>
  <c r="U15" i="22"/>
  <c r="V13" i="22"/>
  <c r="V14" i="22"/>
  <c r="V15" i="22"/>
  <c r="W13" i="22"/>
  <c r="W14" i="22"/>
  <c r="W15" i="22"/>
  <c r="X13" i="22"/>
  <c r="X14" i="22"/>
  <c r="X15" i="22"/>
  <c r="Y13" i="22"/>
  <c r="Y14" i="22"/>
  <c r="Y15" i="22"/>
  <c r="Z13" i="22"/>
  <c r="Z14" i="22"/>
  <c r="Z15" i="22"/>
  <c r="AA13" i="22"/>
  <c r="AA14" i="22"/>
  <c r="AA15" i="22"/>
  <c r="B15" i="22"/>
  <c r="AA7" i="22"/>
  <c r="Z7" i="22"/>
  <c r="Y7" i="22"/>
  <c r="X7" i="22"/>
  <c r="W7" i="22"/>
  <c r="V7" i="22"/>
  <c r="U7" i="22"/>
  <c r="T7" i="22"/>
  <c r="S7" i="22"/>
  <c r="R7" i="22"/>
  <c r="Q7" i="22"/>
  <c r="P7" i="22"/>
  <c r="O7" i="22"/>
  <c r="N7" i="22"/>
  <c r="M7" i="22"/>
  <c r="L7" i="22"/>
  <c r="K7" i="22"/>
  <c r="J8" i="22"/>
  <c r="I8" i="22"/>
  <c r="H8" i="22"/>
  <c r="E3" i="22"/>
  <c r="F3" i="22"/>
  <c r="G3" i="22"/>
  <c r="H3" i="22"/>
  <c r="I3" i="22"/>
  <c r="J3" i="22"/>
  <c r="K3" i="22"/>
  <c r="L3" i="22"/>
  <c r="M3" i="22"/>
  <c r="N3" i="22"/>
  <c r="O3" i="22"/>
  <c r="P3" i="22"/>
  <c r="Q3" i="22"/>
  <c r="R3" i="22"/>
  <c r="S3" i="22"/>
  <c r="T3" i="22"/>
  <c r="U3" i="22"/>
  <c r="V3" i="22"/>
  <c r="W3" i="22"/>
  <c r="X3" i="22"/>
  <c r="Y3" i="22"/>
  <c r="Z3" i="22"/>
  <c r="AA3" i="22"/>
  <c r="B14" i="22"/>
  <c r="B13" i="22"/>
  <c r="I2" i="22"/>
  <c r="J2" i="22"/>
  <c r="K2" i="22"/>
  <c r="L2" i="22"/>
  <c r="M2" i="22"/>
  <c r="N2" i="22"/>
  <c r="O2" i="22"/>
  <c r="P2" i="22"/>
  <c r="Q2" i="22"/>
  <c r="R2" i="22"/>
  <c r="S2" i="22"/>
  <c r="T2" i="22"/>
  <c r="U2" i="22"/>
  <c r="V2" i="22"/>
  <c r="W2" i="22"/>
  <c r="X2" i="22"/>
  <c r="Y2" i="22"/>
  <c r="Z2" i="22"/>
  <c r="AA2" i="22"/>
  <c r="D1" i="22"/>
  <c r="E1" i="22"/>
  <c r="F1" i="22"/>
  <c r="G1" i="22"/>
  <c r="H1" i="22"/>
  <c r="I1" i="22"/>
  <c r="J1" i="22"/>
  <c r="K1" i="22"/>
  <c r="L1" i="22"/>
  <c r="M1" i="22"/>
  <c r="N1" i="22"/>
  <c r="O1" i="22"/>
  <c r="P1" i="22"/>
  <c r="Q1" i="22"/>
  <c r="R1" i="22"/>
  <c r="S1" i="22"/>
  <c r="T1" i="22"/>
  <c r="U1" i="22"/>
  <c r="V1" i="22"/>
  <c r="W1" i="22"/>
  <c r="X1" i="22"/>
  <c r="Y1" i="22"/>
  <c r="Z1" i="22"/>
  <c r="AA1" i="22"/>
  <c r="D5" i="21"/>
  <c r="E5" i="21"/>
  <c r="F5" i="21"/>
  <c r="G5" i="21"/>
  <c r="H5" i="21"/>
  <c r="I5" i="21"/>
  <c r="J5" i="21"/>
  <c r="K5" i="21"/>
  <c r="L5" i="21"/>
  <c r="M5" i="21"/>
  <c r="N5" i="21"/>
  <c r="O5" i="21"/>
  <c r="P5" i="21"/>
  <c r="Q5" i="21"/>
  <c r="R5" i="21"/>
  <c r="S5" i="21"/>
  <c r="T5" i="21"/>
  <c r="U5" i="21"/>
  <c r="C5" i="21"/>
  <c r="H29" i="3"/>
  <c r="I29" i="3"/>
  <c r="K29" i="3"/>
  <c r="L29" i="3"/>
  <c r="M29" i="3"/>
  <c r="N29" i="3"/>
  <c r="O29" i="3"/>
  <c r="P29" i="3"/>
  <c r="Q29" i="3"/>
  <c r="R29" i="3"/>
  <c r="S29" i="3"/>
  <c r="T29" i="3"/>
  <c r="U29" i="3"/>
  <c r="V29" i="3"/>
  <c r="W29" i="3"/>
  <c r="X29" i="3"/>
  <c r="Y29" i="3"/>
  <c r="Z29" i="3"/>
  <c r="AA29" i="3"/>
  <c r="B11" i="6"/>
  <c r="B9" i="6"/>
  <c r="C9" i="6"/>
  <c r="B8" i="6"/>
  <c r="B7" i="6"/>
  <c r="C7" i="6"/>
  <c r="C8" i="6"/>
  <c r="F21" i="6"/>
  <c r="F19" i="6"/>
  <c r="B29" i="3"/>
  <c r="G2" i="14"/>
  <c r="C39" i="6"/>
  <c r="D39" i="6"/>
  <c r="E39" i="6"/>
  <c r="F39" i="6"/>
  <c r="G39" i="6"/>
  <c r="H39" i="6"/>
  <c r="I39" i="6"/>
  <c r="J39" i="6"/>
  <c r="K39" i="6"/>
  <c r="L39" i="6"/>
  <c r="M39" i="6"/>
  <c r="N39" i="6"/>
  <c r="O39" i="6"/>
  <c r="P39" i="6"/>
  <c r="Q39" i="6"/>
  <c r="R39" i="6"/>
  <c r="S39" i="6"/>
  <c r="T39" i="6"/>
  <c r="U39" i="6"/>
  <c r="P41" i="6"/>
  <c r="Q41" i="6"/>
  <c r="R41" i="6"/>
  <c r="O41" i="6"/>
  <c r="N41" i="6"/>
  <c r="M41" i="6"/>
  <c r="L41" i="6"/>
  <c r="K41" i="6"/>
  <c r="J41" i="6"/>
  <c r="I41" i="6"/>
  <c r="H41" i="6"/>
  <c r="G41" i="6"/>
  <c r="F41" i="6"/>
  <c r="E41" i="6"/>
  <c r="D41" i="6"/>
  <c r="C41" i="6"/>
  <c r="B41" i="6"/>
  <c r="S41" i="6"/>
  <c r="T41" i="6"/>
  <c r="U41" i="6"/>
  <c r="M36" i="5"/>
  <c r="L36" i="5"/>
  <c r="N36" i="5"/>
  <c r="K36" i="5"/>
  <c r="M49" i="5"/>
  <c r="L49" i="5"/>
  <c r="N49" i="5"/>
  <c r="M48" i="5"/>
  <c r="L48" i="5"/>
  <c r="N48" i="5"/>
  <c r="M47" i="5"/>
  <c r="L47" i="5"/>
  <c r="N47" i="5"/>
  <c r="M46" i="5"/>
  <c r="L46" i="5"/>
  <c r="N46" i="5"/>
  <c r="L44" i="5"/>
  <c r="N44" i="5"/>
  <c r="L43" i="5"/>
  <c r="L42" i="5"/>
  <c r="N42" i="5"/>
  <c r="L41" i="5"/>
  <c r="N41" i="5"/>
  <c r="M44" i="5"/>
  <c r="M43" i="5"/>
  <c r="M42" i="5"/>
  <c r="M41" i="5"/>
  <c r="L39" i="5"/>
  <c r="N39" i="5"/>
  <c r="L38" i="5"/>
  <c r="N38" i="5"/>
  <c r="L37" i="5"/>
  <c r="N37" i="5"/>
  <c r="M39" i="5"/>
  <c r="M38" i="5"/>
  <c r="M37" i="5"/>
  <c r="K37" i="5"/>
  <c r="K38" i="5"/>
  <c r="K39" i="5"/>
  <c r="K41" i="5"/>
  <c r="K42" i="5"/>
  <c r="K43" i="5"/>
  <c r="K44" i="5"/>
  <c r="K46" i="5"/>
  <c r="K47" i="5"/>
  <c r="K48" i="5"/>
  <c r="K49"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H52" i="5"/>
  <c r="AI52" i="5"/>
  <c r="AJ52" i="5"/>
  <c r="G16" i="14"/>
  <c r="H16" i="14"/>
  <c r="I16" i="14"/>
  <c r="J16" i="14"/>
  <c r="K16" i="14"/>
  <c r="L16" i="14"/>
  <c r="M16" i="14"/>
  <c r="N16" i="14"/>
  <c r="O16" i="14"/>
  <c r="P16" i="14"/>
  <c r="Q16" i="14"/>
  <c r="R16" i="14"/>
  <c r="S16" i="14"/>
  <c r="T16" i="14"/>
  <c r="U16" i="14"/>
  <c r="V16" i="14"/>
  <c r="W16" i="14"/>
  <c r="X16" i="14"/>
  <c r="Y16" i="14"/>
  <c r="Z16" i="14"/>
  <c r="AA16" i="14"/>
  <c r="AB16" i="14"/>
  <c r="AC16" i="14"/>
  <c r="AD16" i="14"/>
  <c r="AE16" i="14"/>
  <c r="F66"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H66" i="5"/>
  <c r="AI66" i="5"/>
  <c r="AJ66" i="5"/>
  <c r="H2" i="14"/>
  <c r="I2" i="14"/>
  <c r="J2" i="14"/>
  <c r="K2" i="14"/>
  <c r="L2" i="14"/>
  <c r="M2" i="14"/>
  <c r="N2" i="14"/>
  <c r="O2" i="14"/>
  <c r="P2" i="14"/>
  <c r="Q2" i="14"/>
  <c r="R2" i="14"/>
  <c r="S2" i="14"/>
  <c r="T2" i="14"/>
  <c r="U2" i="14"/>
  <c r="V2" i="14"/>
  <c r="W2" i="14"/>
  <c r="X2" i="14"/>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AG59" i="5"/>
  <c r="AH59" i="5"/>
  <c r="AI59" i="5"/>
  <c r="AJ59"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AI63" i="5"/>
  <c r="AJ63"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AG60" i="5"/>
  <c r="AH60" i="5"/>
  <c r="AI60" i="5"/>
  <c r="AJ60" i="5"/>
  <c r="AV67" i="5"/>
  <c r="AV68" i="5"/>
  <c r="L8" i="22"/>
  <c r="N8" i="22"/>
  <c r="P8" i="22"/>
  <c r="R8" i="22"/>
  <c r="T8" i="22"/>
  <c r="X8" i="22"/>
  <c r="Z8" i="22"/>
  <c r="K8" i="22"/>
  <c r="M8" i="22"/>
  <c r="O8" i="22"/>
  <c r="Q8" i="22"/>
  <c r="S8" i="22"/>
  <c r="U8" i="22"/>
  <c r="W8" i="22"/>
  <c r="Y8" i="22"/>
  <c r="AA8" i="22"/>
  <c r="V8" i="22"/>
  <c r="E23" i="14"/>
  <c r="I7" i="22"/>
  <c r="P67" i="5"/>
  <c r="Q67" i="5"/>
  <c r="G7" i="22"/>
  <c r="G9" i="22"/>
  <c r="V9" i="22"/>
  <c r="N9" i="22"/>
  <c r="S9" i="22"/>
  <c r="W9" i="22"/>
  <c r="E18" i="14"/>
  <c r="C21" i="14"/>
  <c r="D24" i="14"/>
  <c r="C20" i="14"/>
  <c r="B25" i="14"/>
  <c r="D25" i="14"/>
  <c r="B19"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E24" i="14"/>
  <c r="B18" i="14"/>
  <c r="F28" i="14"/>
  <c r="G28" i="14"/>
  <c r="H28" i="14"/>
  <c r="I28" i="14"/>
  <c r="J28" i="14"/>
  <c r="K28" i="14"/>
  <c r="L28" i="14"/>
  <c r="M28" i="14"/>
  <c r="N28" i="14"/>
  <c r="O28" i="14"/>
  <c r="P28" i="14"/>
  <c r="Q28" i="14"/>
  <c r="R28" i="14"/>
  <c r="S28" i="14"/>
  <c r="T28" i="14"/>
  <c r="U28" i="14"/>
  <c r="V28" i="14"/>
  <c r="W28" i="14"/>
  <c r="X28" i="14"/>
  <c r="Y28" i="14"/>
  <c r="Z28" i="14"/>
  <c r="AA28" i="14"/>
  <c r="AB28" i="14"/>
  <c r="AC28" i="14"/>
  <c r="AD28" i="14"/>
  <c r="AE28" i="14"/>
  <c r="C28" i="14"/>
  <c r="E28" i="14"/>
  <c r="E4" i="14"/>
  <c r="F4" i="14"/>
  <c r="F9" i="14"/>
  <c r="D31" i="14"/>
  <c r="B29" i="14"/>
  <c r="B28" i="14"/>
  <c r="F29" i="14"/>
  <c r="G29" i="14"/>
  <c r="H29" i="14"/>
  <c r="I29" i="14"/>
  <c r="J29" i="14"/>
  <c r="K29" i="14"/>
  <c r="L29" i="14"/>
  <c r="M29" i="14"/>
  <c r="N29" i="14"/>
  <c r="O29" i="14"/>
  <c r="P29" i="14"/>
  <c r="Q29" i="14"/>
  <c r="R29" i="14"/>
  <c r="S29" i="14"/>
  <c r="T29" i="14"/>
  <c r="U29" i="14"/>
  <c r="V29" i="14"/>
  <c r="W29" i="14"/>
  <c r="X29" i="14"/>
  <c r="Y29" i="14"/>
  <c r="Z29" i="14"/>
  <c r="AA29" i="14"/>
  <c r="AB29" i="14"/>
  <c r="AC29" i="14"/>
  <c r="AD29" i="14"/>
  <c r="AE29" i="14"/>
  <c r="E29" i="14"/>
  <c r="F19" i="14"/>
  <c r="G19" i="14"/>
  <c r="H19" i="14"/>
  <c r="I19" i="14"/>
  <c r="J19" i="14"/>
  <c r="K19" i="14"/>
  <c r="L19" i="14"/>
  <c r="M19" i="14"/>
  <c r="N19" i="14"/>
  <c r="O19" i="14"/>
  <c r="P19" i="14"/>
  <c r="Q19" i="14"/>
  <c r="R19" i="14"/>
  <c r="S19" i="14"/>
  <c r="T19" i="14"/>
  <c r="U19" i="14"/>
  <c r="V19" i="14"/>
  <c r="W19" i="14"/>
  <c r="X19" i="14"/>
  <c r="Y19" i="14"/>
  <c r="Z19" i="14"/>
  <c r="AA19" i="14"/>
  <c r="AB19" i="14"/>
  <c r="AC19" i="14"/>
  <c r="AD19" i="14"/>
  <c r="AE19" i="14"/>
  <c r="C19" i="14"/>
  <c r="E20" i="14"/>
  <c r="B21" i="14"/>
  <c r="D28" i="14"/>
  <c r="C30" i="14"/>
  <c r="F26" i="14"/>
  <c r="G26" i="14"/>
  <c r="H26" i="14"/>
  <c r="I26" i="14"/>
  <c r="J26" i="14"/>
  <c r="K26" i="14"/>
  <c r="L26" i="14"/>
  <c r="M26" i="14"/>
  <c r="N26" i="14"/>
  <c r="O26" i="14"/>
  <c r="P26" i="14"/>
  <c r="Q26" i="14"/>
  <c r="R26" i="14"/>
  <c r="S26" i="14"/>
  <c r="T26" i="14"/>
  <c r="U26" i="14"/>
  <c r="V26" i="14"/>
  <c r="W26" i="14"/>
  <c r="X26" i="14"/>
  <c r="Y26" i="14"/>
  <c r="Z26" i="14"/>
  <c r="AA26" i="14"/>
  <c r="AB26" i="14"/>
  <c r="AC26" i="14"/>
  <c r="AD26" i="14"/>
  <c r="AE26" i="14"/>
  <c r="B30" i="14"/>
  <c r="F24" i="14"/>
  <c r="G24" i="14"/>
  <c r="H24" i="14"/>
  <c r="I24" i="14"/>
  <c r="J24" i="14"/>
  <c r="K24" i="14"/>
  <c r="L24" i="14"/>
  <c r="M24" i="14"/>
  <c r="N24" i="14"/>
  <c r="O24" i="14"/>
  <c r="P24" i="14"/>
  <c r="Q24" i="14"/>
  <c r="R24" i="14"/>
  <c r="S24" i="14"/>
  <c r="T24" i="14"/>
  <c r="U24" i="14"/>
  <c r="V24" i="14"/>
  <c r="W24" i="14"/>
  <c r="X24" i="14"/>
  <c r="Y24" i="14"/>
  <c r="Z24" i="14"/>
  <c r="AA24" i="14"/>
  <c r="AB24" i="14"/>
  <c r="AC24" i="14"/>
  <c r="AD24" i="14"/>
  <c r="AE24" i="14"/>
  <c r="B26" i="14"/>
  <c r="C23" i="14"/>
  <c r="D29" i="14"/>
  <c r="C29" i="14"/>
  <c r="D21" i="14"/>
  <c r="C25"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AD21" i="14"/>
  <c r="AE21" i="14"/>
  <c r="B31" i="14"/>
  <c r="C31" i="14"/>
  <c r="C18" i="14"/>
  <c r="D19" i="14"/>
  <c r="E30" i="14"/>
  <c r="F31" i="14"/>
  <c r="G31" i="14"/>
  <c r="H31" i="14"/>
  <c r="I31" i="14"/>
  <c r="J31" i="14"/>
  <c r="K31" i="14"/>
  <c r="L31" i="14"/>
  <c r="M31" i="14"/>
  <c r="N31" i="14"/>
  <c r="O31" i="14"/>
  <c r="P31" i="14"/>
  <c r="Q31" i="14"/>
  <c r="R31" i="14"/>
  <c r="S31" i="14"/>
  <c r="T31" i="14"/>
  <c r="U31" i="14"/>
  <c r="V31" i="14"/>
  <c r="W31" i="14"/>
  <c r="X31" i="14"/>
  <c r="Y31" i="14"/>
  <c r="Z31" i="14"/>
  <c r="AA31" i="14"/>
  <c r="AB31" i="14"/>
  <c r="AC31" i="14"/>
  <c r="AD31" i="14"/>
  <c r="AE31" i="14"/>
  <c r="D18" i="14"/>
  <c r="F30" i="14"/>
  <c r="G30" i="14"/>
  <c r="H30" i="14"/>
  <c r="I30" i="14"/>
  <c r="J30" i="14"/>
  <c r="K30" i="14"/>
  <c r="L30" i="14"/>
  <c r="M30" i="14"/>
  <c r="N30" i="14"/>
  <c r="O30" i="14"/>
  <c r="P30" i="14"/>
  <c r="Q30" i="14"/>
  <c r="R30" i="14"/>
  <c r="S30" i="14"/>
  <c r="T30" i="14"/>
  <c r="U30" i="14"/>
  <c r="V30" i="14"/>
  <c r="W30" i="14"/>
  <c r="X30" i="14"/>
  <c r="Y30" i="14"/>
  <c r="Z30" i="14"/>
  <c r="AA30" i="14"/>
  <c r="AB30" i="14"/>
  <c r="AC30" i="14"/>
  <c r="AD30" i="14"/>
  <c r="AE30" i="14"/>
  <c r="C24" i="14"/>
  <c r="B24" i="14"/>
  <c r="B23" i="14"/>
  <c r="E31" i="14"/>
  <c r="E7" i="14"/>
  <c r="F23" i="14"/>
  <c r="G23" i="14"/>
  <c r="H23" i="14"/>
  <c r="I23" i="14"/>
  <c r="J23" i="14"/>
  <c r="K23" i="14"/>
  <c r="L23" i="14"/>
  <c r="M23" i="14"/>
  <c r="N23" i="14"/>
  <c r="O23" i="14"/>
  <c r="P23" i="14"/>
  <c r="Q23" i="14"/>
  <c r="R23" i="14"/>
  <c r="S23" i="14"/>
  <c r="T23" i="14"/>
  <c r="U23" i="14"/>
  <c r="V23" i="14"/>
  <c r="W23" i="14"/>
  <c r="X23" i="14"/>
  <c r="Y23" i="14"/>
  <c r="Z23" i="14"/>
  <c r="AA23" i="14"/>
  <c r="AB23" i="14"/>
  <c r="AC23" i="14"/>
  <c r="AD23" i="14"/>
  <c r="AE23" i="14"/>
  <c r="C26" i="14"/>
  <c r="E19" i="14"/>
  <c r="D26" i="14"/>
  <c r="B20" i="14"/>
  <c r="D30" i="14"/>
  <c r="F25" i="14"/>
  <c r="G25" i="14"/>
  <c r="H25" i="14"/>
  <c r="I25" i="14"/>
  <c r="J25" i="14"/>
  <c r="K25" i="14"/>
  <c r="L25" i="14"/>
  <c r="M25" i="14"/>
  <c r="N25" i="14"/>
  <c r="O25" i="14"/>
  <c r="P25" i="14"/>
  <c r="Q25" i="14"/>
  <c r="R25" i="14"/>
  <c r="S25" i="14"/>
  <c r="T25" i="14"/>
  <c r="U25" i="14"/>
  <c r="V25" i="14"/>
  <c r="W25" i="14"/>
  <c r="X25" i="14"/>
  <c r="Y25" i="14"/>
  <c r="Z25" i="14"/>
  <c r="AA25" i="14"/>
  <c r="AB25" i="14"/>
  <c r="AC25" i="14"/>
  <c r="AD25" i="14"/>
  <c r="AE25" i="14"/>
  <c r="D23" i="14"/>
  <c r="D20" i="14"/>
  <c r="F18" i="14"/>
  <c r="G18" i="14"/>
  <c r="H18" i="14"/>
  <c r="I18" i="14"/>
  <c r="J18" i="14"/>
  <c r="K18" i="14"/>
  <c r="L18" i="14"/>
  <c r="M18" i="14"/>
  <c r="N18" i="14"/>
  <c r="O18" i="14"/>
  <c r="P18" i="14"/>
  <c r="Q18" i="14"/>
  <c r="R18" i="14"/>
  <c r="S18" i="14"/>
  <c r="T18" i="14"/>
  <c r="U18" i="14"/>
  <c r="V18" i="14"/>
  <c r="W18" i="14"/>
  <c r="X18" i="14"/>
  <c r="Y18" i="14"/>
  <c r="Z18" i="14"/>
  <c r="AA18" i="14"/>
  <c r="AB18" i="14"/>
  <c r="AC18" i="14"/>
  <c r="AD18" i="14"/>
  <c r="AE18" i="14"/>
  <c r="AG18" i="14"/>
  <c r="F7" i="22"/>
  <c r="F9" i="22"/>
  <c r="Q9" i="22"/>
  <c r="I9" i="22"/>
  <c r="Y9" i="22"/>
  <c r="AA9" i="22"/>
  <c r="K9" i="22"/>
  <c r="L9" i="22"/>
  <c r="U9" i="22"/>
  <c r="R9" i="22"/>
  <c r="H9" i="22"/>
  <c r="T9" i="22"/>
  <c r="O9" i="22"/>
  <c r="M9" i="22"/>
  <c r="Z9" i="22"/>
  <c r="J9" i="22"/>
  <c r="B8" i="22"/>
  <c r="P9" i="22"/>
  <c r="X9" i="22"/>
  <c r="E7" i="3"/>
  <c r="E8" i="3"/>
  <c r="F8" i="3"/>
  <c r="F7" i="3"/>
  <c r="E25" i="14"/>
  <c r="C40" i="6"/>
  <c r="N43" i="5"/>
  <c r="R67" i="5"/>
  <c r="K68" i="5"/>
  <c r="L68" i="5"/>
  <c r="E5" i="14"/>
  <c r="F5" i="14"/>
  <c r="G5" i="14"/>
  <c r="E6" i="14"/>
  <c r="F6" i="14"/>
  <c r="E9" i="14"/>
  <c r="G4" i="14"/>
  <c r="B7" i="22"/>
  <c r="B9" i="22"/>
  <c r="B18" i="22"/>
  <c r="G7" i="3"/>
  <c r="G8" i="3"/>
  <c r="E12" i="14"/>
  <c r="F7" i="14"/>
  <c r="D40" i="6"/>
  <c r="M68" i="5"/>
  <c r="S67" i="5"/>
  <c r="E10" i="14"/>
  <c r="E13" i="14"/>
  <c r="F10" i="14"/>
  <c r="E11" i="14"/>
  <c r="G9" i="14"/>
  <c r="H4" i="14"/>
  <c r="H8" i="3"/>
  <c r="H7" i="3"/>
  <c r="G6" i="14"/>
  <c r="F11" i="14"/>
  <c r="E40" i="6"/>
  <c r="G7" i="14"/>
  <c r="F12" i="14"/>
  <c r="G10" i="14"/>
  <c r="H5" i="14"/>
  <c r="T67" i="5"/>
  <c r="N68" i="5"/>
  <c r="F13" i="14"/>
  <c r="H11" i="3"/>
  <c r="H17" i="3"/>
  <c r="H30" i="3"/>
  <c r="B30" i="3"/>
  <c r="H9" i="14"/>
  <c r="I4" i="14"/>
  <c r="H33" i="3"/>
  <c r="H32" i="3"/>
  <c r="I8" i="3"/>
  <c r="I30" i="3"/>
  <c r="I7" i="3"/>
  <c r="I17" i="3"/>
  <c r="H31" i="3"/>
  <c r="B31" i="3"/>
  <c r="H6" i="14"/>
  <c r="G11" i="14"/>
  <c r="H7" i="14"/>
  <c r="G12" i="14"/>
  <c r="G13" i="14"/>
  <c r="I5" i="14"/>
  <c r="H10" i="14"/>
  <c r="F40" i="6"/>
  <c r="O68" i="5"/>
  <c r="U67" i="5"/>
  <c r="I11" i="3"/>
  <c r="I9" i="14"/>
  <c r="J4" i="14"/>
  <c r="I33" i="3"/>
  <c r="I32" i="3"/>
  <c r="J7" i="3"/>
  <c r="J17" i="3"/>
  <c r="J8" i="3"/>
  <c r="I31" i="3"/>
  <c r="I6" i="14"/>
  <c r="H11" i="14"/>
  <c r="H12" i="14"/>
  <c r="H13" i="14"/>
  <c r="I7" i="14"/>
  <c r="G40" i="6"/>
  <c r="J5" i="14"/>
  <c r="I10" i="14"/>
  <c r="V67" i="5"/>
  <c r="P68" i="5"/>
  <c r="J11" i="3"/>
  <c r="B11" i="3"/>
  <c r="K4" i="14"/>
  <c r="J9" i="14"/>
  <c r="I11" i="14"/>
  <c r="J6" i="14"/>
  <c r="J10" i="14"/>
  <c r="K5" i="14"/>
  <c r="H40" i="6"/>
  <c r="J7" i="14"/>
  <c r="I12" i="14"/>
  <c r="I13" i="14"/>
  <c r="Q68" i="5"/>
  <c r="W67" i="5"/>
  <c r="K17" i="3"/>
  <c r="K30" i="3"/>
  <c r="L4" i="14"/>
  <c r="K9" i="14"/>
  <c r="K31" i="3"/>
  <c r="K33" i="3"/>
  <c r="K32" i="3"/>
  <c r="J11" i="14"/>
  <c r="K6" i="14"/>
  <c r="I40" i="6"/>
  <c r="K10" i="14"/>
  <c r="L5" i="14"/>
  <c r="K7" i="14"/>
  <c r="J12" i="14"/>
  <c r="J13" i="14"/>
  <c r="X67" i="5"/>
  <c r="R68" i="5"/>
  <c r="L17" i="3"/>
  <c r="L30" i="3"/>
  <c r="M4" i="14"/>
  <c r="L9" i="14"/>
  <c r="L33" i="3"/>
  <c r="L32" i="3"/>
  <c r="L31" i="3"/>
  <c r="K11" i="14"/>
  <c r="L6" i="14"/>
  <c r="M5" i="14"/>
  <c r="L10" i="14"/>
  <c r="L7" i="14"/>
  <c r="K12" i="14"/>
  <c r="K13" i="14"/>
  <c r="J40" i="6"/>
  <c r="S68" i="5"/>
  <c r="Y67" i="5"/>
  <c r="M17" i="3"/>
  <c r="M30" i="3"/>
  <c r="N4" i="14"/>
  <c r="M9" i="14"/>
  <c r="M33" i="3"/>
  <c r="M32" i="3"/>
  <c r="M31" i="3"/>
  <c r="L11" i="14"/>
  <c r="M6" i="14"/>
  <c r="K40" i="6"/>
  <c r="L12" i="14"/>
  <c r="L13" i="14"/>
  <c r="M7" i="14"/>
  <c r="M10" i="14"/>
  <c r="N5" i="14"/>
  <c r="Z67" i="5"/>
  <c r="T68" i="5"/>
  <c r="N17" i="3"/>
  <c r="N30" i="3"/>
  <c r="N9" i="14"/>
  <c r="O4" i="14"/>
  <c r="N33" i="3"/>
  <c r="N32" i="3"/>
  <c r="N31" i="3"/>
  <c r="N6" i="14"/>
  <c r="M11" i="14"/>
  <c r="M12" i="14"/>
  <c r="M13" i="14"/>
  <c r="N7" i="14"/>
  <c r="O5" i="14"/>
  <c r="N10" i="14"/>
  <c r="L40" i="6"/>
  <c r="U68" i="5"/>
  <c r="AA67" i="5"/>
  <c r="O17" i="3"/>
  <c r="O30" i="3"/>
  <c r="P4" i="14"/>
  <c r="O9" i="14"/>
  <c r="O33" i="3"/>
  <c r="O32" i="3"/>
  <c r="O31" i="3"/>
  <c r="O6" i="14"/>
  <c r="N11" i="14"/>
  <c r="P5" i="14"/>
  <c r="O10" i="14"/>
  <c r="O7" i="14"/>
  <c r="N12" i="14"/>
  <c r="N13" i="14"/>
  <c r="M40" i="6"/>
  <c r="AB67" i="5"/>
  <c r="V68" i="5"/>
  <c r="P17" i="3"/>
  <c r="P30" i="3"/>
  <c r="P9" i="14"/>
  <c r="Q4" i="14"/>
  <c r="P31" i="3"/>
  <c r="P33" i="3"/>
  <c r="P32" i="3"/>
  <c r="O11" i="14"/>
  <c r="P6" i="14"/>
  <c r="N40" i="6"/>
  <c r="P7" i="14"/>
  <c r="O12" i="14"/>
  <c r="O13" i="14"/>
  <c r="Q5" i="14"/>
  <c r="P10" i="14"/>
  <c r="W68" i="5"/>
  <c r="AC67" i="5"/>
  <c r="Q17" i="3"/>
  <c r="Q30" i="3"/>
  <c r="R4" i="14"/>
  <c r="Q9" i="14"/>
  <c r="Q33" i="3"/>
  <c r="Q32" i="3"/>
  <c r="Q31" i="3"/>
  <c r="P11" i="14"/>
  <c r="Q6" i="14"/>
  <c r="Q10" i="14"/>
  <c r="R5" i="14"/>
  <c r="P12" i="14"/>
  <c r="P13" i="14"/>
  <c r="Q7" i="14"/>
  <c r="O40" i="6"/>
  <c r="AD67" i="5"/>
  <c r="X68" i="5"/>
  <c r="R17" i="3"/>
  <c r="R30" i="3"/>
  <c r="S4" i="14"/>
  <c r="R9" i="14"/>
  <c r="R31" i="3"/>
  <c r="R33" i="3"/>
  <c r="R32" i="3"/>
  <c r="R6" i="14"/>
  <c r="Q11" i="14"/>
  <c r="Q12" i="14"/>
  <c r="Q13" i="14"/>
  <c r="R7" i="14"/>
  <c r="R10" i="14"/>
  <c r="S5" i="14"/>
  <c r="P40" i="6"/>
  <c r="AE67" i="5"/>
  <c r="Y68" i="5"/>
  <c r="S17" i="3"/>
  <c r="S30" i="3"/>
  <c r="T4" i="14"/>
  <c r="S9" i="14"/>
  <c r="S31" i="3"/>
  <c r="S33" i="3"/>
  <c r="S32" i="3"/>
  <c r="R11" i="14"/>
  <c r="S6" i="14"/>
  <c r="S10" i="14"/>
  <c r="T5" i="14"/>
  <c r="Q40" i="6"/>
  <c r="S7" i="14"/>
  <c r="R12" i="14"/>
  <c r="R13" i="14"/>
  <c r="AF67" i="5"/>
  <c r="Z68" i="5"/>
  <c r="T17" i="3"/>
  <c r="T30" i="3"/>
  <c r="U4" i="14"/>
  <c r="T9" i="14"/>
  <c r="T33" i="3"/>
  <c r="T32" i="3"/>
  <c r="T31" i="3"/>
  <c r="T6" i="14"/>
  <c r="S11" i="14"/>
  <c r="T7" i="14"/>
  <c r="S12" i="14"/>
  <c r="S13" i="14"/>
  <c r="R40" i="6"/>
  <c r="U5" i="14"/>
  <c r="T10" i="14"/>
  <c r="AG67" i="5"/>
  <c r="AA68" i="5"/>
  <c r="U17" i="3"/>
  <c r="U30" i="3"/>
  <c r="V4" i="14"/>
  <c r="U9" i="14"/>
  <c r="U33" i="3"/>
  <c r="U32" i="3"/>
  <c r="U31" i="3"/>
  <c r="T11" i="14"/>
  <c r="U6" i="14"/>
  <c r="S40" i="6"/>
  <c r="V5" i="14"/>
  <c r="U10" i="14"/>
  <c r="T12" i="14"/>
  <c r="T13" i="14"/>
  <c r="U7" i="14"/>
  <c r="AB68" i="5"/>
  <c r="AH67" i="5"/>
  <c r="V17" i="3"/>
  <c r="V30" i="3"/>
  <c r="W4" i="14"/>
  <c r="V9" i="14"/>
  <c r="V33" i="3"/>
  <c r="V32" i="3"/>
  <c r="V31" i="3"/>
  <c r="U11" i="14"/>
  <c r="V6" i="14"/>
  <c r="V10" i="14"/>
  <c r="W5" i="14"/>
  <c r="T40" i="6"/>
  <c r="U12" i="14"/>
  <c r="U13" i="14"/>
  <c r="V7" i="14"/>
  <c r="W17" i="3"/>
  <c r="W30" i="3"/>
  <c r="X4" i="14"/>
  <c r="X9" i="14"/>
  <c r="W9" i="14"/>
  <c r="W33" i="3"/>
  <c r="W32" i="3"/>
  <c r="W31" i="3"/>
  <c r="V11" i="14"/>
  <c r="W6" i="14"/>
  <c r="V12" i="14"/>
  <c r="V13" i="14"/>
  <c r="W7" i="14"/>
  <c r="U40" i="6"/>
  <c r="X5" i="14"/>
  <c r="X10" i="14"/>
  <c r="W10" i="14"/>
  <c r="AC68" i="5"/>
  <c r="AI67" i="5"/>
  <c r="X17" i="3"/>
  <c r="X30" i="3"/>
  <c r="X33" i="3"/>
  <c r="X32" i="3"/>
  <c r="X31" i="3"/>
  <c r="W11" i="14"/>
  <c r="X6" i="14"/>
  <c r="X11" i="14"/>
  <c r="W12" i="14"/>
  <c r="W13" i="14"/>
  <c r="X7" i="14"/>
  <c r="X12" i="14"/>
  <c r="X13" i="14"/>
  <c r="Y17" i="3"/>
  <c r="Y30" i="3"/>
  <c r="Y31" i="3"/>
  <c r="Y33" i="3"/>
  <c r="Y32" i="3"/>
  <c r="Z17" i="3"/>
  <c r="Z30" i="3"/>
  <c r="Z31" i="3"/>
  <c r="Z33" i="3"/>
  <c r="Z32" i="3"/>
  <c r="AA17" i="3"/>
  <c r="AA30" i="3"/>
  <c r="AA33" i="3"/>
  <c r="B33" i="3"/>
  <c r="AA32" i="3"/>
  <c r="B32" i="3"/>
  <c r="AA31" i="3"/>
  <c r="AB17" i="3"/>
  <c r="B34" i="3"/>
  <c r="AD17" i="3"/>
  <c r="AC17" i="3"/>
  <c r="AD68" i="5"/>
  <c r="AE17" i="3"/>
  <c r="AE68" i="5"/>
  <c r="AF17" i="3"/>
  <c r="AF68" i="5"/>
  <c r="AJ67" i="5"/>
  <c r="AG17" i="3"/>
  <c r="AG68" i="5"/>
  <c r="AH68" i="5"/>
  <c r="AI68" i="5"/>
  <c r="AJ68" i="5"/>
  <c r="AI12" i="3"/>
  <c r="AI17" i="3"/>
  <c r="B17" i="3"/>
  <c r="B12" i="3"/>
  <c r="B14" i="3"/>
  <c r="L17" i="40" l="1"/>
  <c r="J19" i="40"/>
  <c r="E10" i="31"/>
  <c r="C5" i="33"/>
  <c r="C7" i="33" s="1"/>
  <c r="C11" i="33" s="1"/>
  <c r="C17" i="33" s="1"/>
  <c r="G7" i="31"/>
  <c r="F10" i="31"/>
  <c r="E6" i="34" s="1"/>
  <c r="L19" i="3" s="1"/>
  <c r="D5" i="33"/>
  <c r="D7" i="33" s="1"/>
  <c r="D12" i="33" s="1"/>
  <c r="D18" i="33" s="1"/>
  <c r="L24" i="3" s="1"/>
  <c r="F8" i="31"/>
  <c r="E11" i="31"/>
  <c r="H16" i="40"/>
  <c r="K19" i="40"/>
  <c r="K27" i="40" s="1"/>
  <c r="K37" i="40" s="1"/>
  <c r="G20" i="40"/>
  <c r="H17" i="40"/>
  <c r="F18" i="40"/>
  <c r="K20" i="40"/>
  <c r="K28" i="40" s="1"/>
  <c r="K38" i="40" s="1"/>
  <c r="L16" i="40"/>
  <c r="L19" i="40"/>
  <c r="F20" i="40"/>
  <c r="K17" i="40"/>
  <c r="K25" i="40" s="1"/>
  <c r="K35" i="40" s="1"/>
  <c r="K39" i="40" s="1"/>
  <c r="I18" i="40"/>
  <c r="J20" i="40"/>
  <c r="G17" i="40"/>
  <c r="H18" i="40"/>
  <c r="J16" i="40"/>
  <c r="H19" i="40"/>
  <c r="F17" i="40"/>
  <c r="L18" i="40"/>
  <c r="I16" i="40"/>
  <c r="G19" i="40"/>
  <c r="I20" i="40"/>
  <c r="J17" i="40"/>
  <c r="F16" i="40"/>
  <c r="I19" i="40"/>
  <c r="L20" i="40"/>
  <c r="K18" i="40"/>
  <c r="K26" i="40" s="1"/>
  <c r="K36" i="40" s="1"/>
  <c r="D9" i="35"/>
  <c r="C12" i="33"/>
  <c r="C18" i="33" s="1"/>
  <c r="K24" i="3" s="1"/>
  <c r="C13" i="33"/>
  <c r="C19" i="33" s="1"/>
  <c r="D11" i="33"/>
  <c r="D17" i="33" s="1"/>
  <c r="L26" i="40" l="1"/>
  <c r="L36" i="40" s="1"/>
  <c r="M18" i="40"/>
  <c r="D13" i="33"/>
  <c r="D19" i="33" s="1"/>
  <c r="M20" i="40"/>
  <c r="L28" i="40"/>
  <c r="L38" i="40" s="1"/>
  <c r="M19" i="40"/>
  <c r="L27" i="40"/>
  <c r="L37" i="40" s="1"/>
  <c r="D5" i="41"/>
  <c r="D6" i="41" s="1"/>
  <c r="K26" i="3" s="1"/>
  <c r="D7" i="34"/>
  <c r="K20" i="3" s="1"/>
  <c r="M17" i="40"/>
  <c r="L25" i="40"/>
  <c r="L35" i="40" s="1"/>
  <c r="H7" i="31"/>
  <c r="G10" i="31"/>
  <c r="F6" i="34" s="1"/>
  <c r="M19" i="3" s="1"/>
  <c r="D10" i="33"/>
  <c r="D16" i="33" s="1"/>
  <c r="D11" i="35"/>
  <c r="E9" i="35"/>
  <c r="D6" i="34"/>
  <c r="K19" i="3" s="1"/>
  <c r="C10" i="33"/>
  <c r="C16" i="33" s="1"/>
  <c r="K25" i="3" s="1"/>
  <c r="L24" i="40"/>
  <c r="L34" i="40" s="1"/>
  <c r="M16" i="40"/>
  <c r="G8" i="31"/>
  <c r="E5" i="33" s="1"/>
  <c r="E7" i="33" s="1"/>
  <c r="F11" i="31"/>
  <c r="L25" i="3"/>
  <c r="E10" i="33" l="1"/>
  <c r="E16" i="33" s="1"/>
  <c r="E11" i="33"/>
  <c r="E17" i="33" s="1"/>
  <c r="E12" i="33"/>
  <c r="E18" i="33" s="1"/>
  <c r="M24" i="3" s="1"/>
  <c r="E13" i="33"/>
  <c r="E19" i="33" s="1"/>
  <c r="N16" i="40"/>
  <c r="M24" i="40"/>
  <c r="M34" i="40" s="1"/>
  <c r="M39" i="40" s="1"/>
  <c r="L22" i="3" s="1"/>
  <c r="L39" i="40"/>
  <c r="K22" i="3" s="1"/>
  <c r="I7" i="31"/>
  <c r="H10" i="31"/>
  <c r="G6" i="34" s="1"/>
  <c r="N19" i="3" s="1"/>
  <c r="M27" i="40"/>
  <c r="M37" i="40" s="1"/>
  <c r="N19" i="40"/>
  <c r="N20" i="40"/>
  <c r="M28" i="40"/>
  <c r="M38" i="40" s="1"/>
  <c r="F9" i="35"/>
  <c r="E11" i="35"/>
  <c r="N17" i="40"/>
  <c r="M25" i="40"/>
  <c r="M35" i="40" s="1"/>
  <c r="E5" i="41"/>
  <c r="E6" i="41" s="1"/>
  <c r="L26" i="3" s="1"/>
  <c r="E7" i="34"/>
  <c r="L20" i="3" s="1"/>
  <c r="D12" i="35"/>
  <c r="D13" i="35"/>
  <c r="N18" i="40"/>
  <c r="M26" i="40"/>
  <c r="M36" i="40" s="1"/>
  <c r="H8" i="31"/>
  <c r="G11" i="31"/>
  <c r="F7" i="34" l="1"/>
  <c r="M20" i="3" s="1"/>
  <c r="F5" i="41"/>
  <c r="F6" i="41" s="1"/>
  <c r="M26" i="3" s="1"/>
  <c r="H11" i="31"/>
  <c r="I8" i="31"/>
  <c r="N28" i="40"/>
  <c r="N38" i="40" s="1"/>
  <c r="O20" i="40"/>
  <c r="N24" i="40"/>
  <c r="N34" i="40" s="1"/>
  <c r="O16" i="40"/>
  <c r="O17" i="40"/>
  <c r="N25" i="40"/>
  <c r="N35" i="40" s="1"/>
  <c r="G9" i="35"/>
  <c r="F11" i="35"/>
  <c r="F5" i="33"/>
  <c r="F7" i="33" s="1"/>
  <c r="O19" i="40"/>
  <c r="N27" i="40"/>
  <c r="N37" i="40" s="1"/>
  <c r="O18" i="40"/>
  <c r="N26" i="40"/>
  <c r="N36" i="40" s="1"/>
  <c r="E12" i="35"/>
  <c r="E13" i="35"/>
  <c r="D14" i="35"/>
  <c r="D16" i="35" s="1"/>
  <c r="K21" i="3" s="1"/>
  <c r="K36" i="3" s="1"/>
  <c r="J7" i="31"/>
  <c r="G5" i="33"/>
  <c r="G7" i="33" s="1"/>
  <c r="I10" i="31"/>
  <c r="M25" i="3"/>
  <c r="E14" i="35" l="1"/>
  <c r="E16" i="35" s="1"/>
  <c r="L21" i="3" s="1"/>
  <c r="L36" i="3" s="1"/>
  <c r="G11" i="35"/>
  <c r="H9" i="35"/>
  <c r="O26" i="40"/>
  <c r="O36" i="40" s="1"/>
  <c r="P18" i="40"/>
  <c r="J8" i="31"/>
  <c r="I11" i="31"/>
  <c r="F12" i="35"/>
  <c r="F13" i="35"/>
  <c r="H6" i="34"/>
  <c r="O19" i="3" s="1"/>
  <c r="O25" i="40"/>
  <c r="O35" i="40" s="1"/>
  <c r="P17" i="40"/>
  <c r="G5" i="41"/>
  <c r="G6" i="41" s="1"/>
  <c r="N26" i="3" s="1"/>
  <c r="G7" i="34"/>
  <c r="N20" i="3" s="1"/>
  <c r="G11" i="33"/>
  <c r="G17" i="33" s="1"/>
  <c r="G12" i="33"/>
  <c r="G18" i="33" s="1"/>
  <c r="O24" i="3" s="1"/>
  <c r="G13" i="33"/>
  <c r="G19" i="33" s="1"/>
  <c r="G10" i="33"/>
  <c r="G16" i="33" s="1"/>
  <c r="O25" i="3" s="1"/>
  <c r="O27" i="40"/>
  <c r="O37" i="40" s="1"/>
  <c r="P19" i="40"/>
  <c r="P16" i="40"/>
  <c r="O24" i="40"/>
  <c r="O34" i="40" s="1"/>
  <c r="H5" i="33"/>
  <c r="H7" i="33" s="1"/>
  <c r="K7" i="31"/>
  <c r="J10" i="31"/>
  <c r="I6" i="34" s="1"/>
  <c r="P19" i="3" s="1"/>
  <c r="N39" i="40"/>
  <c r="M22" i="3" s="1"/>
  <c r="F13" i="33"/>
  <c r="F19" i="33" s="1"/>
  <c r="F10" i="33"/>
  <c r="F16" i="33" s="1"/>
  <c r="F11" i="33"/>
  <c r="F17" i="33" s="1"/>
  <c r="F12" i="33"/>
  <c r="F18" i="33" s="1"/>
  <c r="N24" i="3" s="1"/>
  <c r="O28" i="40"/>
  <c r="O38" i="40" s="1"/>
  <c r="P20" i="40"/>
  <c r="P26" i="40" l="1"/>
  <c r="P36" i="40" s="1"/>
  <c r="Q18" i="40"/>
  <c r="L7" i="31"/>
  <c r="K10" i="31"/>
  <c r="H11" i="35"/>
  <c r="I9" i="35"/>
  <c r="Q20" i="40"/>
  <c r="P28" i="40"/>
  <c r="P38" i="40" s="1"/>
  <c r="H11" i="33"/>
  <c r="H17" i="33" s="1"/>
  <c r="H12" i="33"/>
  <c r="H18" i="33" s="1"/>
  <c r="P24" i="3" s="1"/>
  <c r="H10" i="33"/>
  <c r="H16" i="33" s="1"/>
  <c r="H13" i="33"/>
  <c r="H19" i="33" s="1"/>
  <c r="G12" i="35"/>
  <c r="G14" i="35" s="1"/>
  <c r="G16" i="35" s="1"/>
  <c r="N21" i="3" s="1"/>
  <c r="N36" i="3" s="1"/>
  <c r="G13" i="35"/>
  <c r="O39" i="40"/>
  <c r="N22" i="3" s="1"/>
  <c r="F14" i="35"/>
  <c r="F16" i="35" s="1"/>
  <c r="M21" i="3" s="1"/>
  <c r="M36" i="3" s="1"/>
  <c r="N25" i="3"/>
  <c r="P24" i="40"/>
  <c r="P34" i="40" s="1"/>
  <c r="Q16" i="40"/>
  <c r="H7" i="34"/>
  <c r="O20" i="3" s="1"/>
  <c r="H5" i="41"/>
  <c r="H6" i="41" s="1"/>
  <c r="O26" i="3" s="1"/>
  <c r="P27" i="40"/>
  <c r="P37" i="40" s="1"/>
  <c r="Q19" i="40"/>
  <c r="P25" i="40"/>
  <c r="P35" i="40" s="1"/>
  <c r="Q17" i="40"/>
  <c r="J11" i="31"/>
  <c r="K8" i="31"/>
  <c r="I5" i="33" s="1"/>
  <c r="I7" i="33" s="1"/>
  <c r="I13" i="33" l="1"/>
  <c r="I19" i="33" s="1"/>
  <c r="I10" i="33"/>
  <c r="I16" i="33" s="1"/>
  <c r="I11" i="33"/>
  <c r="I17" i="33" s="1"/>
  <c r="I12" i="33"/>
  <c r="I18" i="33" s="1"/>
  <c r="Q24" i="3" s="1"/>
  <c r="H13" i="35"/>
  <c r="H12" i="35"/>
  <c r="H14" i="35" s="1"/>
  <c r="H16" i="35" s="1"/>
  <c r="O21" i="3" s="1"/>
  <c r="O36" i="3" s="1"/>
  <c r="I5" i="41"/>
  <c r="I6" i="41" s="1"/>
  <c r="P26" i="3" s="1"/>
  <c r="I7" i="34"/>
  <c r="P20" i="3" s="1"/>
  <c r="J6" i="34"/>
  <c r="Q19" i="3" s="1"/>
  <c r="Q25" i="40"/>
  <c r="Q35" i="40" s="1"/>
  <c r="R17" i="40"/>
  <c r="R16" i="40"/>
  <c r="Q24" i="40"/>
  <c r="Q34" i="40" s="1"/>
  <c r="Q39" i="40" s="1"/>
  <c r="P22" i="3" s="1"/>
  <c r="P25" i="3"/>
  <c r="M7" i="31"/>
  <c r="J5" i="33"/>
  <c r="J7" i="33" s="1"/>
  <c r="L10" i="31"/>
  <c r="K6" i="34" s="1"/>
  <c r="R19" i="3" s="1"/>
  <c r="P39" i="40"/>
  <c r="O22" i="3" s="1"/>
  <c r="Q26" i="40"/>
  <c r="Q36" i="40" s="1"/>
  <c r="R18" i="40"/>
  <c r="L8" i="31"/>
  <c r="K11" i="31"/>
  <c r="Q27" i="40"/>
  <c r="Q37" i="40" s="1"/>
  <c r="R19" i="40"/>
  <c r="Q28" i="40"/>
  <c r="Q38" i="40" s="1"/>
  <c r="R20" i="40"/>
  <c r="J9" i="35"/>
  <c r="I11" i="35"/>
  <c r="S18" i="40" l="1"/>
  <c r="R26" i="40"/>
  <c r="R36" i="40" s="1"/>
  <c r="R24" i="40"/>
  <c r="R34" i="40" s="1"/>
  <c r="S16" i="40"/>
  <c r="S17" i="40"/>
  <c r="R25" i="40"/>
  <c r="R35" i="40" s="1"/>
  <c r="R27" i="40"/>
  <c r="R37" i="40" s="1"/>
  <c r="S19" i="40"/>
  <c r="Q25" i="3"/>
  <c r="K9" i="35"/>
  <c r="J11" i="35"/>
  <c r="J11" i="33"/>
  <c r="J17" i="33" s="1"/>
  <c r="J12" i="33"/>
  <c r="J18" i="33" s="1"/>
  <c r="R24" i="3" s="1"/>
  <c r="J10" i="33"/>
  <c r="J16" i="33" s="1"/>
  <c r="R25" i="3" s="1"/>
  <c r="J13" i="33"/>
  <c r="J19" i="33" s="1"/>
  <c r="R28" i="40"/>
  <c r="R38" i="40" s="1"/>
  <c r="S20" i="40"/>
  <c r="J5" i="41"/>
  <c r="J6" i="41" s="1"/>
  <c r="Q26" i="3" s="1"/>
  <c r="J7" i="34"/>
  <c r="Q20" i="3" s="1"/>
  <c r="I12" i="35"/>
  <c r="I14" i="35" s="1"/>
  <c r="I16" i="35" s="1"/>
  <c r="P21" i="3" s="1"/>
  <c r="P36" i="3" s="1"/>
  <c r="I13" i="35"/>
  <c r="M8" i="31"/>
  <c r="L11" i="31"/>
  <c r="K5" i="33"/>
  <c r="K7" i="33" s="1"/>
  <c r="N7" i="31"/>
  <c r="M10" i="31"/>
  <c r="L6" i="34" s="1"/>
  <c r="S19" i="3" s="1"/>
  <c r="S25" i="40" l="1"/>
  <c r="S35" i="40" s="1"/>
  <c r="T17" i="40"/>
  <c r="O7" i="31"/>
  <c r="L5" i="33"/>
  <c r="L7" i="33" s="1"/>
  <c r="N10" i="31"/>
  <c r="M6" i="34" s="1"/>
  <c r="T19" i="3" s="1"/>
  <c r="J12" i="35"/>
  <c r="J13" i="35"/>
  <c r="T16" i="40"/>
  <c r="S24" i="40"/>
  <c r="S34" i="40" s="1"/>
  <c r="T20" i="40"/>
  <c r="S28" i="40"/>
  <c r="S38" i="40" s="1"/>
  <c r="R39" i="40"/>
  <c r="Q22" i="3" s="1"/>
  <c r="K13" i="33"/>
  <c r="K19" i="33" s="1"/>
  <c r="K11" i="33"/>
  <c r="K17" i="33" s="1"/>
  <c r="K12" i="33"/>
  <c r="K18" i="33" s="1"/>
  <c r="S24" i="3" s="1"/>
  <c r="K10" i="33"/>
  <c r="K16" i="33" s="1"/>
  <c r="S25" i="3" s="1"/>
  <c r="N8" i="31"/>
  <c r="M11" i="31"/>
  <c r="T19" i="40"/>
  <c r="S27" i="40"/>
  <c r="S37" i="40" s="1"/>
  <c r="S26" i="40"/>
  <c r="S36" i="40" s="1"/>
  <c r="T18" i="40"/>
  <c r="L9" i="35"/>
  <c r="K11" i="35"/>
  <c r="K7" i="34"/>
  <c r="R20" i="3" s="1"/>
  <c r="K5" i="41"/>
  <c r="K6" i="41" s="1"/>
  <c r="R26" i="3" s="1"/>
  <c r="T26" i="40" l="1"/>
  <c r="T36" i="40" s="1"/>
  <c r="U18" i="40"/>
  <c r="J14" i="35"/>
  <c r="J16" i="35" s="1"/>
  <c r="Q21" i="3" s="1"/>
  <c r="Q36" i="3" s="1"/>
  <c r="L11" i="33"/>
  <c r="L17" i="33" s="1"/>
  <c r="L10" i="33"/>
  <c r="L16" i="33" s="1"/>
  <c r="L13" i="33"/>
  <c r="L19" i="33" s="1"/>
  <c r="L12" i="33"/>
  <c r="L18" i="33" s="1"/>
  <c r="T24" i="3" s="1"/>
  <c r="M9" i="35"/>
  <c r="L11" i="35"/>
  <c r="T27" i="40"/>
  <c r="T37" i="40" s="1"/>
  <c r="U19" i="40"/>
  <c r="O10" i="31"/>
  <c r="N6" i="34" s="1"/>
  <c r="U19" i="3" s="1"/>
  <c r="M5" i="33"/>
  <c r="M7" i="33" s="1"/>
  <c r="P7" i="31"/>
  <c r="L5" i="41"/>
  <c r="L6" i="41" s="1"/>
  <c r="S26" i="3" s="1"/>
  <c r="L7" i="34"/>
  <c r="S20" i="3" s="1"/>
  <c r="T28" i="40"/>
  <c r="T38" i="40" s="1"/>
  <c r="U20" i="40"/>
  <c r="U17" i="40"/>
  <c r="T25" i="40"/>
  <c r="T35" i="40" s="1"/>
  <c r="T24" i="40"/>
  <c r="T34" i="40" s="1"/>
  <c r="T39" i="40" s="1"/>
  <c r="S22" i="3" s="1"/>
  <c r="U16" i="40"/>
  <c r="K12" i="35"/>
  <c r="K13" i="35"/>
  <c r="O8" i="31"/>
  <c r="N11" i="31"/>
  <c r="S39" i="40"/>
  <c r="R22" i="3" s="1"/>
  <c r="U24" i="40" l="1"/>
  <c r="U34" i="40" s="1"/>
  <c r="V16" i="40"/>
  <c r="M11" i="33"/>
  <c r="M17" i="33" s="1"/>
  <c r="M10" i="33"/>
  <c r="M16" i="33" s="1"/>
  <c r="U25" i="3" s="1"/>
  <c r="M13" i="33"/>
  <c r="M19" i="33" s="1"/>
  <c r="M12" i="33"/>
  <c r="M18" i="33" s="1"/>
  <c r="U24" i="3" s="1"/>
  <c r="T25" i="3"/>
  <c r="V17" i="40"/>
  <c r="U25" i="40"/>
  <c r="U35" i="40" s="1"/>
  <c r="U27" i="40"/>
  <c r="U37" i="40" s="1"/>
  <c r="V19" i="40"/>
  <c r="N9" i="35"/>
  <c r="M11" i="35"/>
  <c r="M5" i="41"/>
  <c r="M6" i="41" s="1"/>
  <c r="T26" i="3" s="1"/>
  <c r="M7" i="34"/>
  <c r="T20" i="3" s="1"/>
  <c r="U28" i="40"/>
  <c r="U38" i="40" s="1"/>
  <c r="V20" i="40"/>
  <c r="V18" i="40"/>
  <c r="U26" i="40"/>
  <c r="U36" i="40" s="1"/>
  <c r="K14" i="35"/>
  <c r="K16" i="35" s="1"/>
  <c r="R21" i="3" s="1"/>
  <c r="R36" i="3" s="1"/>
  <c r="Q7" i="31"/>
  <c r="P10" i="31"/>
  <c r="O6" i="34" s="1"/>
  <c r="V19" i="3" s="1"/>
  <c r="P8" i="31"/>
  <c r="N5" i="33" s="1"/>
  <c r="N7" i="33" s="1"/>
  <c r="O11" i="31"/>
  <c r="L13" i="35"/>
  <c r="L12" i="35"/>
  <c r="L14" i="35" s="1"/>
  <c r="L16" i="35" s="1"/>
  <c r="S21" i="3" s="1"/>
  <c r="S36" i="3" s="1"/>
  <c r="N11" i="33" l="1"/>
  <c r="N17" i="33" s="1"/>
  <c r="N10" i="33"/>
  <c r="N16" i="33" s="1"/>
  <c r="N13" i="33"/>
  <c r="N19" i="33" s="1"/>
  <c r="N12" i="33"/>
  <c r="N18" i="33" s="1"/>
  <c r="V24" i="3" s="1"/>
  <c r="V25" i="40"/>
  <c r="V35" i="40" s="1"/>
  <c r="W17" i="40"/>
  <c r="M12" i="35"/>
  <c r="M13" i="35"/>
  <c r="N11" i="35"/>
  <c r="O9" i="35"/>
  <c r="V27" i="40"/>
  <c r="V37" i="40" s="1"/>
  <c r="W19" i="40"/>
  <c r="W18" i="40"/>
  <c r="V26" i="40"/>
  <c r="V36" i="40" s="1"/>
  <c r="V24" i="40"/>
  <c r="V34" i="40" s="1"/>
  <c r="V39" i="40" s="1"/>
  <c r="U22" i="3" s="1"/>
  <c r="W16" i="40"/>
  <c r="P11" i="31"/>
  <c r="Q8" i="31"/>
  <c r="R7" i="31"/>
  <c r="O5" i="33"/>
  <c r="O7" i="33" s="1"/>
  <c r="Q10" i="31"/>
  <c r="P6" i="34" s="1"/>
  <c r="W19" i="3" s="1"/>
  <c r="N5" i="41"/>
  <c r="N6" i="41" s="1"/>
  <c r="U26" i="3" s="1"/>
  <c r="N7" i="34"/>
  <c r="U20" i="3" s="1"/>
  <c r="W20" i="40"/>
  <c r="V28" i="40"/>
  <c r="V38" i="40" s="1"/>
  <c r="U39" i="40"/>
  <c r="T22" i="3" s="1"/>
  <c r="W25" i="40" l="1"/>
  <c r="W35" i="40" s="1"/>
  <c r="X17" i="40"/>
  <c r="X18" i="40"/>
  <c r="W26" i="40"/>
  <c r="W36" i="40" s="1"/>
  <c r="W24" i="40"/>
  <c r="W34" i="40" s="1"/>
  <c r="X16" i="40"/>
  <c r="M14" i="35"/>
  <c r="M16" i="35" s="1"/>
  <c r="T21" i="3" s="1"/>
  <c r="T36" i="3" s="1"/>
  <c r="O11" i="33"/>
  <c r="O17" i="33" s="1"/>
  <c r="O10" i="33"/>
  <c r="O16" i="33" s="1"/>
  <c r="O13" i="33"/>
  <c r="O19" i="33" s="1"/>
  <c r="O12" i="33"/>
  <c r="O18" i="33" s="1"/>
  <c r="W24" i="3" s="1"/>
  <c r="W28" i="40"/>
  <c r="W38" i="40" s="1"/>
  <c r="X20" i="40"/>
  <c r="P5" i="33"/>
  <c r="P7" i="33" s="1"/>
  <c r="S7" i="31"/>
  <c r="R10" i="31"/>
  <c r="Q6" i="34" s="1"/>
  <c r="X19" i="3" s="1"/>
  <c r="R8" i="31"/>
  <c r="Q11" i="31"/>
  <c r="O11" i="35"/>
  <c r="P9" i="35"/>
  <c r="V25" i="3"/>
  <c r="X19" i="40"/>
  <c r="W27" i="40"/>
  <c r="W37" i="40" s="1"/>
  <c r="O5" i="41"/>
  <c r="O6" i="41" s="1"/>
  <c r="V26" i="3" s="1"/>
  <c r="O7" i="34"/>
  <c r="V20" i="3" s="1"/>
  <c r="N12" i="35"/>
  <c r="N13" i="35"/>
  <c r="Y20" i="40" l="1"/>
  <c r="X28" i="40"/>
  <c r="X38" i="40" s="1"/>
  <c r="W39" i="40"/>
  <c r="V22" i="3" s="1"/>
  <c r="P13" i="33"/>
  <c r="P19" i="33" s="1"/>
  <c r="P11" i="33"/>
  <c r="P17" i="33" s="1"/>
  <c r="P10" i="33"/>
  <c r="P16" i="33" s="1"/>
  <c r="X25" i="3" s="1"/>
  <c r="P12" i="33"/>
  <c r="P18" i="33" s="1"/>
  <c r="X24" i="3" s="1"/>
  <c r="Q9" i="35"/>
  <c r="P11" i="35"/>
  <c r="O12" i="35"/>
  <c r="O13" i="35"/>
  <c r="Y18" i="40"/>
  <c r="X26" i="40"/>
  <c r="X36" i="40" s="1"/>
  <c r="Q5" i="33"/>
  <c r="Q7" i="33" s="1"/>
  <c r="T7" i="31"/>
  <c r="S10" i="31"/>
  <c r="R6" i="34" s="1"/>
  <c r="Y19" i="3" s="1"/>
  <c r="Y16" i="40"/>
  <c r="X24" i="40"/>
  <c r="X34" i="40" s="1"/>
  <c r="N14" i="35"/>
  <c r="N16" i="35" s="1"/>
  <c r="U21" i="3" s="1"/>
  <c r="U36" i="3" s="1"/>
  <c r="P5" i="41"/>
  <c r="P6" i="41" s="1"/>
  <c r="W26" i="3" s="1"/>
  <c r="P7" i="34"/>
  <c r="W20" i="3" s="1"/>
  <c r="Y17" i="40"/>
  <c r="X25" i="40"/>
  <c r="X35" i="40" s="1"/>
  <c r="X27" i="40"/>
  <c r="X37" i="40" s="1"/>
  <c r="Y19" i="40"/>
  <c r="R11" i="31"/>
  <c r="S8" i="31"/>
  <c r="W25" i="3"/>
  <c r="Z17" i="40" l="1"/>
  <c r="Y25" i="40"/>
  <c r="Y35" i="40" s="1"/>
  <c r="Z18" i="40"/>
  <c r="Y26" i="40"/>
  <c r="Y36" i="40" s="1"/>
  <c r="R5" i="33"/>
  <c r="R7" i="33" s="1"/>
  <c r="U7" i="31"/>
  <c r="T10" i="31"/>
  <c r="S6" i="34" s="1"/>
  <c r="Z19" i="3" s="1"/>
  <c r="Q10" i="33"/>
  <c r="Q16" i="33" s="1"/>
  <c r="Y25" i="3" s="1"/>
  <c r="Q13" i="33"/>
  <c r="Q19" i="33" s="1"/>
  <c r="Q11" i="33"/>
  <c r="Q17" i="33" s="1"/>
  <c r="Q12" i="33"/>
  <c r="Q18" i="33" s="1"/>
  <c r="Y24" i="3" s="1"/>
  <c r="T8" i="31"/>
  <c r="S11" i="31"/>
  <c r="Q7" i="34"/>
  <c r="X20" i="3" s="1"/>
  <c r="Q5" i="41"/>
  <c r="Q6" i="41" s="1"/>
  <c r="X26" i="3" s="1"/>
  <c r="X39" i="40"/>
  <c r="W22" i="3" s="1"/>
  <c r="O14" i="35"/>
  <c r="O16" i="35" s="1"/>
  <c r="V21" i="3" s="1"/>
  <c r="V36" i="3" s="1"/>
  <c r="R9" i="35"/>
  <c r="Q11" i="35"/>
  <c r="Y27" i="40"/>
  <c r="Y37" i="40" s="1"/>
  <c r="Z19" i="40"/>
  <c r="Y24" i="40"/>
  <c r="Y34" i="40" s="1"/>
  <c r="Y39" i="40" s="1"/>
  <c r="X22" i="3" s="1"/>
  <c r="Z16" i="40"/>
  <c r="P13" i="35"/>
  <c r="P12" i="35"/>
  <c r="Y28" i="40"/>
  <c r="Y38" i="40" s="1"/>
  <c r="Z20" i="40"/>
  <c r="R5" i="41" l="1"/>
  <c r="R6" i="41" s="1"/>
  <c r="Y26" i="3" s="1"/>
  <c r="R7" i="34"/>
  <c r="Y20" i="3" s="1"/>
  <c r="R11" i="33"/>
  <c r="R17" i="33" s="1"/>
  <c r="R13" i="33"/>
  <c r="R19" i="33" s="1"/>
  <c r="R12" i="33"/>
  <c r="R18" i="33" s="1"/>
  <c r="Z24" i="3" s="1"/>
  <c r="R10" i="33"/>
  <c r="R16" i="33" s="1"/>
  <c r="Z25" i="3" s="1"/>
  <c r="U8" i="31"/>
  <c r="T11" i="31"/>
  <c r="Z28" i="40"/>
  <c r="Z38" i="40" s="1"/>
  <c r="AA20" i="40"/>
  <c r="Q12" i="35"/>
  <c r="Q13" i="35"/>
  <c r="AA18" i="40"/>
  <c r="Z26" i="40"/>
  <c r="Z36" i="40" s="1"/>
  <c r="AA16" i="40"/>
  <c r="Z24" i="40"/>
  <c r="Z34" i="40" s="1"/>
  <c r="Z39" i="40" s="1"/>
  <c r="Y22" i="3" s="1"/>
  <c r="AA19" i="40"/>
  <c r="Z27" i="40"/>
  <c r="Z37" i="40" s="1"/>
  <c r="S9" i="35"/>
  <c r="R11" i="35"/>
  <c r="V7" i="31"/>
  <c r="U10" i="31"/>
  <c r="T6" i="34" s="1"/>
  <c r="AA19" i="3" s="1"/>
  <c r="P14" i="35"/>
  <c r="P16" i="35" s="1"/>
  <c r="W21" i="3" s="1"/>
  <c r="W36" i="3" s="1"/>
  <c r="AA17" i="40"/>
  <c r="Z25" i="40"/>
  <c r="Z35" i="40" s="1"/>
  <c r="AA24" i="40" l="1"/>
  <c r="AA34" i="40" s="1"/>
  <c r="AB16" i="40"/>
  <c r="V8" i="31"/>
  <c r="U11" i="31"/>
  <c r="S5" i="33"/>
  <c r="S7" i="33" s="1"/>
  <c r="T5" i="33"/>
  <c r="T7" i="33" s="1"/>
  <c r="W7" i="31"/>
  <c r="V10" i="31"/>
  <c r="U6" i="34" s="1"/>
  <c r="AB19" i="3" s="1"/>
  <c r="AB18" i="40"/>
  <c r="AA26" i="40"/>
  <c r="AA36" i="40" s="1"/>
  <c r="R12" i="35"/>
  <c r="R13" i="35"/>
  <c r="T9" i="35"/>
  <c r="S11" i="35"/>
  <c r="Q14" i="35"/>
  <c r="Q16" i="35" s="1"/>
  <c r="X21" i="3" s="1"/>
  <c r="X36" i="3" s="1"/>
  <c r="S7" i="34"/>
  <c r="Z20" i="3" s="1"/>
  <c r="S5" i="41"/>
  <c r="S6" i="41" s="1"/>
  <c r="Z26" i="3" s="1"/>
  <c r="AB20" i="40"/>
  <c r="AA28" i="40"/>
  <c r="AA38" i="40" s="1"/>
  <c r="AA25" i="40"/>
  <c r="AA35" i="40" s="1"/>
  <c r="AB17" i="40"/>
  <c r="AB19" i="40"/>
  <c r="AA27" i="40"/>
  <c r="AA37" i="40" s="1"/>
  <c r="X7" i="31" l="1"/>
  <c r="W10" i="31"/>
  <c r="V6" i="34" s="1"/>
  <c r="AC19" i="3" s="1"/>
  <c r="S12" i="35"/>
  <c r="S13" i="35"/>
  <c r="AB27" i="40"/>
  <c r="AB37" i="40" s="1"/>
  <c r="AC19" i="40"/>
  <c r="T11" i="33"/>
  <c r="T17" i="33" s="1"/>
  <c r="T10" i="33"/>
  <c r="T16" i="33" s="1"/>
  <c r="T12" i="33"/>
  <c r="T18" i="33" s="1"/>
  <c r="AB24" i="3" s="1"/>
  <c r="T13" i="33"/>
  <c r="T19" i="33" s="1"/>
  <c r="AB25" i="40"/>
  <c r="AB35" i="40" s="1"/>
  <c r="AC17" i="40"/>
  <c r="T11" i="35"/>
  <c r="U9" i="35"/>
  <c r="S10" i="33"/>
  <c r="S16" i="33" s="1"/>
  <c r="AA25" i="3" s="1"/>
  <c r="S11" i="33"/>
  <c r="S17" i="33" s="1"/>
  <c r="S12" i="33"/>
  <c r="S18" i="33" s="1"/>
  <c r="AA24" i="3" s="1"/>
  <c r="S13" i="33"/>
  <c r="S19" i="33" s="1"/>
  <c r="T5" i="41"/>
  <c r="T6" i="41" s="1"/>
  <c r="AA26" i="3" s="1"/>
  <c r="T7" i="34"/>
  <c r="AA20" i="3" s="1"/>
  <c r="R14" i="35"/>
  <c r="R16" i="35" s="1"/>
  <c r="Y21" i="3" s="1"/>
  <c r="Y36" i="3" s="1"/>
  <c r="W8" i="31"/>
  <c r="V11" i="31"/>
  <c r="AB28" i="40"/>
  <c r="AB38" i="40" s="1"/>
  <c r="AC20" i="40"/>
  <c r="AB24" i="40"/>
  <c r="AB34" i="40" s="1"/>
  <c r="AC16" i="40"/>
  <c r="AC18" i="40"/>
  <c r="AB26" i="40"/>
  <c r="AB36" i="40" s="1"/>
  <c r="AA39" i="40"/>
  <c r="Z22" i="3" s="1"/>
  <c r="V9" i="35" l="1"/>
  <c r="U11" i="35"/>
  <c r="AD19" i="40"/>
  <c r="AC27" i="40"/>
  <c r="AC37" i="40" s="1"/>
  <c r="AD18" i="40"/>
  <c r="AC26" i="40"/>
  <c r="AC36" i="40" s="1"/>
  <c r="AD17" i="40"/>
  <c r="AC25" i="40"/>
  <c r="AC35" i="40" s="1"/>
  <c r="S14" i="35"/>
  <c r="S16" i="35" s="1"/>
  <c r="Z21" i="3" s="1"/>
  <c r="Z36" i="3" s="1"/>
  <c r="AB39" i="40"/>
  <c r="AA22" i="3" s="1"/>
  <c r="U5" i="41"/>
  <c r="U6" i="41" s="1"/>
  <c r="AB26" i="3" s="1"/>
  <c r="U7" i="34"/>
  <c r="AB20" i="3" s="1"/>
  <c r="X8" i="31"/>
  <c r="W11" i="31"/>
  <c r="T12" i="35"/>
  <c r="T13" i="35"/>
  <c r="AC24" i="40"/>
  <c r="AC34" i="40" s="1"/>
  <c r="AC39" i="40" s="1"/>
  <c r="AB22" i="3" s="1"/>
  <c r="AD16" i="40"/>
  <c r="AC28" i="40"/>
  <c r="AC38" i="40" s="1"/>
  <c r="AD20" i="40"/>
  <c r="U5" i="33"/>
  <c r="U7" i="33" s="1"/>
  <c r="AB25" i="3"/>
  <c r="V5" i="33"/>
  <c r="V7" i="33" s="1"/>
  <c r="Y7" i="31"/>
  <c r="X10" i="31"/>
  <c r="W6" i="34" s="1"/>
  <c r="AD19" i="3" s="1"/>
  <c r="U12" i="35" l="1"/>
  <c r="U13" i="35"/>
  <c r="Z7" i="31"/>
  <c r="Y10" i="31"/>
  <c r="X6" i="34" s="1"/>
  <c r="AE19" i="3" s="1"/>
  <c r="V13" i="33"/>
  <c r="V19" i="33" s="1"/>
  <c r="V11" i="33"/>
  <c r="V17" i="33" s="1"/>
  <c r="V10" i="33"/>
  <c r="V16" i="33" s="1"/>
  <c r="AD25" i="3" s="1"/>
  <c r="V12" i="33"/>
  <c r="V18" i="33" s="1"/>
  <c r="AD24" i="3" s="1"/>
  <c r="AD25" i="40"/>
  <c r="AD35" i="40" s="1"/>
  <c r="AE17" i="40"/>
  <c r="V5" i="41"/>
  <c r="V6" i="41" s="1"/>
  <c r="AC26" i="3" s="1"/>
  <c r="V7" i="34"/>
  <c r="AC20" i="3" s="1"/>
  <c r="U12" i="33"/>
  <c r="U18" i="33" s="1"/>
  <c r="AC24" i="3" s="1"/>
  <c r="U10" i="33"/>
  <c r="U16" i="33" s="1"/>
  <c r="U13" i="33"/>
  <c r="U19" i="33" s="1"/>
  <c r="U11" i="33"/>
  <c r="U17" i="33" s="1"/>
  <c r="AD26" i="40"/>
  <c r="AD36" i="40" s="1"/>
  <c r="AE18" i="40"/>
  <c r="AE20" i="40"/>
  <c r="AD28" i="40"/>
  <c r="AD38" i="40" s="1"/>
  <c r="AE16" i="40"/>
  <c r="AD24" i="40"/>
  <c r="AD34" i="40" s="1"/>
  <c r="AD39" i="40" s="1"/>
  <c r="AC22" i="3" s="1"/>
  <c r="V11" i="35"/>
  <c r="W9" i="35"/>
  <c r="T14" i="35"/>
  <c r="T16" i="35" s="1"/>
  <c r="AA21" i="3" s="1"/>
  <c r="AA36" i="3" s="1"/>
  <c r="X11" i="31"/>
  <c r="Y8" i="31"/>
  <c r="AE19" i="40"/>
  <c r="AD27" i="40"/>
  <c r="AD37" i="40" s="1"/>
  <c r="AC25" i="3" l="1"/>
  <c r="AE24" i="40"/>
  <c r="AE34" i="40" s="1"/>
  <c r="AF16" i="40"/>
  <c r="AE27" i="40"/>
  <c r="AE37" i="40" s="1"/>
  <c r="AF19" i="40"/>
  <c r="Z8" i="31"/>
  <c r="Y11" i="31"/>
  <c r="X5" i="33"/>
  <c r="X7" i="33" s="1"/>
  <c r="AA7" i="31"/>
  <c r="Z10" i="31"/>
  <c r="Y6" i="34" s="1"/>
  <c r="AF19" i="3" s="1"/>
  <c r="AE26" i="40"/>
  <c r="AE36" i="40" s="1"/>
  <c r="AF18" i="40"/>
  <c r="W5" i="33"/>
  <c r="W7" i="33" s="1"/>
  <c r="V12" i="35"/>
  <c r="V13" i="35"/>
  <c r="AE28" i="40"/>
  <c r="AE38" i="40" s="1"/>
  <c r="AF20" i="40"/>
  <c r="W5" i="41"/>
  <c r="W6" i="41" s="1"/>
  <c r="AD26" i="3" s="1"/>
  <c r="W7" i="34"/>
  <c r="AD20" i="3" s="1"/>
  <c r="AF17" i="40"/>
  <c r="AE25" i="40"/>
  <c r="AE35" i="40" s="1"/>
  <c r="X9" i="35"/>
  <c r="W11" i="35"/>
  <c r="U14" i="35"/>
  <c r="U16" i="35" s="1"/>
  <c r="AB21" i="3" s="1"/>
  <c r="AB36" i="3" s="1"/>
  <c r="X10" i="33" l="1"/>
  <c r="X16" i="33" s="1"/>
  <c r="X13" i="33"/>
  <c r="X19" i="33" s="1"/>
  <c r="X11" i="33"/>
  <c r="X17" i="33" s="1"/>
  <c r="X12" i="33"/>
  <c r="X18" i="33" s="1"/>
  <c r="AF24" i="3" s="1"/>
  <c r="W12" i="35"/>
  <c r="W13" i="35"/>
  <c r="X5" i="41"/>
  <c r="X6" i="41" s="1"/>
  <c r="AE26" i="3" s="1"/>
  <c r="X7" i="34"/>
  <c r="AE20" i="3" s="1"/>
  <c r="X11" i="35"/>
  <c r="Y9" i="35"/>
  <c r="V14" i="35"/>
  <c r="V16" i="35" s="1"/>
  <c r="AC21" i="3" s="1"/>
  <c r="AC36" i="3" s="1"/>
  <c r="Z11" i="31"/>
  <c r="AA8" i="31"/>
  <c r="W11" i="33"/>
  <c r="W17" i="33" s="1"/>
  <c r="W12" i="33"/>
  <c r="W18" i="33" s="1"/>
  <c r="AE24" i="3" s="1"/>
  <c r="W10" i="33"/>
  <c r="W16" i="33" s="1"/>
  <c r="AE25" i="3" s="1"/>
  <c r="W13" i="33"/>
  <c r="W19" i="33" s="1"/>
  <c r="AG19" i="40"/>
  <c r="AF27" i="40"/>
  <c r="AF37" i="40" s="1"/>
  <c r="AF25" i="40"/>
  <c r="AF35" i="40" s="1"/>
  <c r="AG17" i="40"/>
  <c r="AF26" i="40"/>
  <c r="AF36" i="40" s="1"/>
  <c r="AG18" i="40"/>
  <c r="AF24" i="40"/>
  <c r="AF34" i="40" s="1"/>
  <c r="AF39" i="40" s="1"/>
  <c r="AE22" i="3" s="1"/>
  <c r="AG16" i="40"/>
  <c r="AE39" i="40"/>
  <c r="AD22" i="3" s="1"/>
  <c r="AF28" i="40"/>
  <c r="AF38" i="40" s="1"/>
  <c r="AG20" i="40"/>
  <c r="Y5" i="33"/>
  <c r="Y7" i="33" s="1"/>
  <c r="AB7" i="31"/>
  <c r="AA10" i="31"/>
  <c r="Z6" i="34" s="1"/>
  <c r="AG19" i="3" s="1"/>
  <c r="Y11" i="33" l="1"/>
  <c r="Y17" i="33" s="1"/>
  <c r="Y13" i="33"/>
  <c r="Y19" i="33" s="1"/>
  <c r="Y10" i="33"/>
  <c r="Y16" i="33" s="1"/>
  <c r="AG25" i="3" s="1"/>
  <c r="Y12" i="33"/>
  <c r="Y18" i="33" s="1"/>
  <c r="AG24" i="3" s="1"/>
  <c r="AG25" i="40"/>
  <c r="AG35" i="40" s="1"/>
  <c r="AH17" i="40"/>
  <c r="AB8" i="31"/>
  <c r="AA11" i="31"/>
  <c r="W14" i="35"/>
  <c r="W16" i="35" s="1"/>
  <c r="AD21" i="3" s="1"/>
  <c r="AD36" i="3" s="1"/>
  <c r="AG26" i="40"/>
  <c r="AG36" i="40" s="1"/>
  <c r="AH18" i="40"/>
  <c r="Y5" i="41"/>
  <c r="Y6" i="41" s="1"/>
  <c r="AF26" i="3" s="1"/>
  <c r="Y7" i="34"/>
  <c r="AF20" i="3" s="1"/>
  <c r="AH20" i="40"/>
  <c r="AG28" i="40"/>
  <c r="AG38" i="40" s="1"/>
  <c r="AH19" i="40"/>
  <c r="AG27" i="40"/>
  <c r="AG37" i="40" s="1"/>
  <c r="Y11" i="35"/>
  <c r="Z9" i="35"/>
  <c r="Z5" i="33"/>
  <c r="Z7" i="33" s="1"/>
  <c r="AB10" i="31"/>
  <c r="AA6" i="34" s="1"/>
  <c r="AH19" i="3" s="1"/>
  <c r="AC7" i="31"/>
  <c r="AG24" i="40"/>
  <c r="AG34" i="40" s="1"/>
  <c r="AH16" i="40"/>
  <c r="X12" i="35"/>
  <c r="X14" i="35" s="1"/>
  <c r="X16" i="35" s="1"/>
  <c r="AE21" i="3" s="1"/>
  <c r="AE36" i="3" s="1"/>
  <c r="X13" i="35"/>
  <c r="AF25" i="3"/>
  <c r="AG39" i="40" l="1"/>
  <c r="AF22" i="3" s="1"/>
  <c r="AC8" i="31"/>
  <c r="AB11" i="31"/>
  <c r="AH27" i="40"/>
  <c r="AH37" i="40" s="1"/>
  <c r="AI19" i="40"/>
  <c r="AA5" i="33"/>
  <c r="AA7" i="33" s="1"/>
  <c r="AC10" i="31"/>
  <c r="B7" i="31"/>
  <c r="Z5" i="41"/>
  <c r="Z6" i="41" s="1"/>
  <c r="AG26" i="3" s="1"/>
  <c r="Z7" i="34"/>
  <c r="AG20" i="3" s="1"/>
  <c r="AI17" i="40"/>
  <c r="AH25" i="40"/>
  <c r="AH35" i="40" s="1"/>
  <c r="Z11" i="33"/>
  <c r="Z17" i="33" s="1"/>
  <c r="Z12" i="33"/>
  <c r="Z18" i="33" s="1"/>
  <c r="AH24" i="3" s="1"/>
  <c r="Z13" i="33"/>
  <c r="Z19" i="33" s="1"/>
  <c r="Z10" i="33"/>
  <c r="Z16" i="33" s="1"/>
  <c r="AH25" i="3" s="1"/>
  <c r="AH24" i="40"/>
  <c r="AH34" i="40" s="1"/>
  <c r="AI16" i="40"/>
  <c r="AH28" i="40"/>
  <c r="AH38" i="40" s="1"/>
  <c r="AI20" i="40"/>
  <c r="AA9" i="35"/>
  <c r="Z11" i="35"/>
  <c r="AI18" i="40"/>
  <c r="AH26" i="40"/>
  <c r="AH36" i="40" s="1"/>
  <c r="Y13" i="35"/>
  <c r="Y12" i="35"/>
  <c r="Z12" i="35" l="1"/>
  <c r="Z14" i="35" s="1"/>
  <c r="Z16" i="35" s="1"/>
  <c r="AG21" i="3" s="1"/>
  <c r="Z13" i="35"/>
  <c r="AA11" i="33"/>
  <c r="AA17" i="33" s="1"/>
  <c r="AA10" i="33"/>
  <c r="AA16" i="33" s="1"/>
  <c r="AI25" i="3" s="1"/>
  <c r="B25" i="3" s="1"/>
  <c r="AA13" i="33"/>
  <c r="AA19" i="33" s="1"/>
  <c r="AA12" i="33"/>
  <c r="AA18" i="33" s="1"/>
  <c r="AI24" i="3" s="1"/>
  <c r="B24" i="3" s="1"/>
  <c r="AB9" i="35"/>
  <c r="AB11" i="35" s="1"/>
  <c r="AA11" i="35"/>
  <c r="AI27" i="40"/>
  <c r="AI37" i="40" s="1"/>
  <c r="AJ19" i="40"/>
  <c r="AJ27" i="40" s="1"/>
  <c r="AJ37" i="40" s="1"/>
  <c r="AJ20" i="40"/>
  <c r="AJ28" i="40" s="1"/>
  <c r="AJ38" i="40" s="1"/>
  <c r="AI28" i="40"/>
  <c r="AI38" i="40" s="1"/>
  <c r="AI25" i="40"/>
  <c r="AI35" i="40" s="1"/>
  <c r="AJ17" i="40"/>
  <c r="AJ25" i="40" s="1"/>
  <c r="AJ35" i="40" s="1"/>
  <c r="AA5" i="41"/>
  <c r="AA6" i="41" s="1"/>
  <c r="AH26" i="3" s="1"/>
  <c r="AA7" i="34"/>
  <c r="AH20" i="3" s="1"/>
  <c r="AJ18" i="40"/>
  <c r="AJ26" i="40" s="1"/>
  <c r="AJ36" i="40" s="1"/>
  <c r="AI26" i="40"/>
  <c r="AI36" i="40" s="1"/>
  <c r="AB6" i="34"/>
  <c r="AI19" i="3" s="1"/>
  <c r="B10" i="31"/>
  <c r="Y14" i="35"/>
  <c r="Y16" i="35" s="1"/>
  <c r="AF21" i="3" s="1"/>
  <c r="AI24" i="40"/>
  <c r="AI34" i="40" s="1"/>
  <c r="AI39" i="40" s="1"/>
  <c r="AH22" i="3" s="1"/>
  <c r="AJ16" i="40"/>
  <c r="AJ24" i="40" s="1"/>
  <c r="AJ34" i="40" s="1"/>
  <c r="AJ39" i="40" s="1"/>
  <c r="AI22" i="3" s="1"/>
  <c r="B22" i="3" s="1"/>
  <c r="AC11" i="31"/>
  <c r="B8" i="31"/>
  <c r="AH39" i="40"/>
  <c r="AG22" i="3" s="1"/>
  <c r="AA13" i="35" l="1"/>
  <c r="AA12" i="35"/>
  <c r="AA14" i="35" s="1"/>
  <c r="AA16" i="35" s="1"/>
  <c r="AH21" i="3" s="1"/>
  <c r="AH36" i="3" s="1"/>
  <c r="AF36" i="3"/>
  <c r="AB5" i="41"/>
  <c r="AB6" i="41" s="1"/>
  <c r="AI26" i="3" s="1"/>
  <c r="B26" i="3" s="1"/>
  <c r="AB7" i="34"/>
  <c r="AI20" i="3" s="1"/>
  <c r="B20" i="3" s="1"/>
  <c r="B11" i="31"/>
  <c r="B19" i="3"/>
  <c r="AB12" i="35"/>
  <c r="AB13" i="35"/>
  <c r="AG36" i="3"/>
  <c r="AB14" i="35" l="1"/>
  <c r="AB16" i="35" s="1"/>
  <c r="AI21" i="3" s="1"/>
  <c r="B21" i="3" s="1"/>
  <c r="AI36" i="3"/>
  <c r="B36" i="3" l="1"/>
  <c r="B47" i="3" l="1"/>
  <c r="B46" i="3"/>
  <c r="B43" i="3"/>
  <c r="B48" i="3"/>
  <c r="B39" i="3"/>
  <c r="B40" i="3"/>
  <c r="B44" i="3"/>
  <c r="B4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tc={A6BD0F67-7671-40E5-A35A-4A39F80ACAFC}</author>
    <author>tc={5080EA70-A083-1549-9D89-5C2A9D64DBC5}</author>
    <author>tc={64EE20D0-1213-D042-8BF3-FA4893D43D8D}</author>
  </authors>
  <commentList>
    <comment ref="A3" authorId="0" shapeId="0" xr:uid="{A6BD0F67-7671-40E5-A35A-4A39F80ACAF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adjust back to vehicle hours, not passenger hours</t>
        </r>
      </text>
    </comment>
    <comment ref="A16" authorId="1" shapeId="0" xr:uid="{5080EA70-A083-1549-9D89-5C2A9D64DB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table pulls from the Look Up tab and employs a linear decrease for emissions post 2025. Several of the pollutants hit 0 using this formula in the 2030s or 2040s</t>
        </r>
      </text>
    </comment>
    <comment ref="G16" authorId="2" shapeId="0" xr:uid="{64EE20D0-1213-D042-8BF3-FA4893D43D8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Starts emissions decrease formula
Reply:
    Updated to % decrease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tc={67D51CC0-690C-4988-AB9F-6F710162D615}</author>
  </authors>
  <commentList>
    <comment ref="C12" authorId="0" shapeId="0" xr:uid="{67D51CC0-690C-4988-AB9F-6F710162D61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Hajra, can you list all three of the CMF sources here, since there were three of them and all were about the same value, so that reinforces the value we are using</t>
        </r>
      </text>
    </comment>
  </commentList>
</comments>
</file>

<file path=xl/sharedStrings.xml><?xml version="1.0" encoding="utf-8"?>
<sst xmlns="http://schemas.openxmlformats.org/spreadsheetml/2006/main" count="683" uniqueCount="346">
  <si>
    <t>Discounted Summary Results (2020 $s)</t>
  </si>
  <si>
    <t>Year</t>
  </si>
  <si>
    <t>Years of Construction</t>
  </si>
  <si>
    <t>Years of Operation</t>
  </si>
  <si>
    <t>-</t>
  </si>
  <si>
    <t>Base Year Y for Discounting</t>
  </si>
  <si>
    <t>Discount Factor (7%)</t>
  </si>
  <si>
    <t>Discount Factor(3%)</t>
  </si>
  <si>
    <t>`</t>
  </si>
  <si>
    <t>Discounted Costs</t>
  </si>
  <si>
    <t>Present Value</t>
  </si>
  <si>
    <t xml:space="preserve">Build Capital Costs </t>
  </si>
  <si>
    <t xml:space="preserve">Residual Value after 25 years </t>
  </si>
  <si>
    <t>Net Capital Cost</t>
  </si>
  <si>
    <t>Discounted Benefits</t>
  </si>
  <si>
    <t>1.Maintenance and Rehab (Life Cycle) Cost Savings</t>
  </si>
  <si>
    <t>2. Value of Travel Time Savings</t>
  </si>
  <si>
    <t>auto</t>
  </si>
  <si>
    <t>truck</t>
  </si>
  <si>
    <t>4. Value of Crash Reductions</t>
  </si>
  <si>
    <t>5. Value of Emissions Reductions</t>
  </si>
  <si>
    <t>CO2</t>
  </si>
  <si>
    <t>Other Emissions</t>
  </si>
  <si>
    <t>Truck VMT Reductions (related external benefits)</t>
  </si>
  <si>
    <t>annual reduction in truck VMT</t>
  </si>
  <si>
    <t>Emissions Benefits (CO2)</t>
  </si>
  <si>
    <t>Emissions Benefits (All Other)</t>
  </si>
  <si>
    <t>Crash Reductions Benefits</t>
  </si>
  <si>
    <t>Reduced Pavement Damage</t>
  </si>
  <si>
    <t>Total from reduced truck VMT</t>
  </si>
  <si>
    <t xml:space="preserve">                                                                                                                                                                                                                                                                                                                                                                                                                                                                                                                                                                                                                                                                                                                                                                                                                                                                                                                                                                                                                                                                                                                                                                                                                                                                                                                                                                                                                                                                                                                                                                                                                                                                                                                                                                                                                                                                                                                                                                                                                                                                                                                                                                                                                                                                                                                                                                                                                                                                                                                                                                                                                                                                           </t>
  </si>
  <si>
    <t>Total Discounted Benefits</t>
  </si>
  <si>
    <t>Summary</t>
  </si>
  <si>
    <t>Benefit Cost Ratio</t>
  </si>
  <si>
    <t xml:space="preserve">Net Present Value </t>
  </si>
  <si>
    <t>Share of Benefits by Type</t>
  </si>
  <si>
    <t>Year of Operation</t>
  </si>
  <si>
    <t>Financial Discount Fator- PBVR Cost of Capital (2%)</t>
  </si>
  <si>
    <t>Build Capital Costs (including previously expended costs)</t>
  </si>
  <si>
    <t>Annual O&amp;M and Periodic Rehab Cost (Build - No Build)</t>
  </si>
  <si>
    <t>Total Discounted Cost</t>
  </si>
  <si>
    <t xml:space="preserve">Improved RR yard efficiencies </t>
  </si>
  <si>
    <t>reduced overtime</t>
  </si>
  <si>
    <t>Additional Port Net Revenues</t>
  </si>
  <si>
    <t>Payback Period</t>
  </si>
  <si>
    <t>8 years</t>
  </si>
  <si>
    <t>Financial Internal Rate of Return</t>
  </si>
  <si>
    <t>Capital Costs (Undiscounted, $2020M)</t>
  </si>
  <si>
    <t>Total</t>
  </si>
  <si>
    <t xml:space="preserve">2020 $s </t>
  </si>
  <si>
    <t>Build</t>
  </si>
  <si>
    <t xml:space="preserve">Construction </t>
  </si>
  <si>
    <t>Pre-Construction</t>
  </si>
  <si>
    <t>Key Parameters &amp; Assumptions</t>
  </si>
  <si>
    <t xml:space="preserve">Pre construction costs incurred in </t>
  </si>
  <si>
    <t>US BEA GDP price deflator index, % change Q12020-Q12022</t>
  </si>
  <si>
    <t>https://fred.stlouisfed.org/series/GDPDEF/</t>
  </si>
  <si>
    <t>Freight and Passenger Delay Savings via Bridge Segment (due to single tracking)</t>
  </si>
  <si>
    <t>Delay - Freight</t>
  </si>
  <si>
    <t>Life Cycle Cost Savings (Maintenance and Rehab Cost Savings, 2020 $s)</t>
  </si>
  <si>
    <t>No Build</t>
  </si>
  <si>
    <t>routine</t>
  </si>
  <si>
    <t xml:space="preserve">No Build - Build </t>
  </si>
  <si>
    <t>total difference/lcc savings</t>
  </si>
  <si>
    <t xml:space="preserve">weekly truck VMT reduction </t>
  </si>
  <si>
    <t>annual truck VMT reduction</t>
  </si>
  <si>
    <t>annual truck VHT reduction</t>
  </si>
  <si>
    <t>Emissions Benefits</t>
  </si>
  <si>
    <t>Emissions Reduction (annual metric tons saved)</t>
  </si>
  <si>
    <t xml:space="preserve">NOx </t>
  </si>
  <si>
    <t xml:space="preserve">SOx </t>
  </si>
  <si>
    <r>
      <t>CO</t>
    </r>
    <r>
      <rPr>
        <b/>
        <vertAlign val="subscript"/>
        <sz val="11"/>
        <color theme="1"/>
        <rFont val="Calibri"/>
        <family val="2"/>
        <scheme val="minor"/>
      </rPr>
      <t xml:space="preserve">2 </t>
    </r>
  </si>
  <si>
    <t xml:space="preserve">PM2.5 </t>
  </si>
  <si>
    <t>Emissions Benefit (annual $ savings, undiscounted)</t>
  </si>
  <si>
    <t>NOx Benefit</t>
  </si>
  <si>
    <t>SOx Benefit</t>
  </si>
  <si>
    <r>
      <t>CO</t>
    </r>
    <r>
      <rPr>
        <b/>
        <vertAlign val="subscript"/>
        <sz val="11"/>
        <color theme="1"/>
        <rFont val="Calibri"/>
        <family val="2"/>
        <scheme val="minor"/>
      </rPr>
      <t>2</t>
    </r>
    <r>
      <rPr>
        <b/>
        <sz val="11"/>
        <color theme="1"/>
        <rFont val="Calibri"/>
        <family val="2"/>
        <scheme val="minor"/>
      </rPr>
      <t xml:space="preserve"> Benefit</t>
    </r>
  </si>
  <si>
    <t>PM2.5 Benefit</t>
  </si>
  <si>
    <t>Total (Non-CO2) Benefit</t>
  </si>
  <si>
    <t xml:space="preserve">Emissions Per Vehicle Hour  (metric tons/VHT) </t>
  </si>
  <si>
    <t>Passenger Car</t>
  </si>
  <si>
    <t xml:space="preserve">NOx Savings </t>
  </si>
  <si>
    <t>SOx Savings</t>
  </si>
  <si>
    <r>
      <t>CO</t>
    </r>
    <r>
      <rPr>
        <vertAlign val="subscript"/>
        <sz val="11"/>
        <color theme="1"/>
        <rFont val="Calibri"/>
        <family val="2"/>
        <scheme val="minor"/>
      </rPr>
      <t>2</t>
    </r>
    <r>
      <rPr>
        <sz val="11"/>
        <color theme="1"/>
        <rFont val="Calibri"/>
        <family val="2"/>
        <scheme val="minor"/>
      </rPr>
      <t xml:space="preserve"> Savings</t>
    </r>
  </si>
  <si>
    <t>PM2.5 Savings</t>
  </si>
  <si>
    <t>Light/Medium Truck</t>
  </si>
  <si>
    <t>Heavy Truck</t>
  </si>
  <si>
    <t>*Source: MOVES3</t>
  </si>
  <si>
    <t>https://www.epa.gov/energy/greenhouse-gases-equivalencies-calculator-calculations-and-references</t>
  </si>
  <si>
    <t>https://www.epa.gov/moves/latest-version-motor-vehicle-emission-simulator-moves</t>
  </si>
  <si>
    <t xml:space="preserve">Crash Reductions </t>
  </si>
  <si>
    <t>Table 46</t>
  </si>
  <si>
    <t>distribution of truck crashes by type</t>
  </si>
  <si>
    <t>value of crashes by type</t>
  </si>
  <si>
    <t>Large Trucks Involved in Crashes, by Most Harmful Event and Crash Severity, 2019</t>
  </si>
  <si>
    <t>fatal</t>
  </si>
  <si>
    <t>Most Harmful Event</t>
  </si>
  <si>
    <t>Crash Severity</t>
  </si>
  <si>
    <t>injury</t>
  </si>
  <si>
    <t>Fatal</t>
  </si>
  <si>
    <t>Injury</t>
  </si>
  <si>
    <t>Property Damage
Only</t>
  </si>
  <si>
    <t>PDO</t>
  </si>
  <si>
    <t>Number</t>
  </si>
  <si>
    <t>Percent</t>
  </si>
  <si>
    <t>Collision with Motor Vehicle in
Transport by Initial Point of Impact</t>
  </si>
  <si>
    <t>Front</t>
  </si>
  <si>
    <t>total</t>
  </si>
  <si>
    <t>Left Side</t>
  </si>
  <si>
    <t>Right Side</t>
  </si>
  <si>
    <t>Rear</t>
  </si>
  <si>
    <t>Weighted average crash cost for all three crash types, where weights are frequency of each crash type.</t>
  </si>
  <si>
    <t>Other/Unknown</t>
  </si>
  <si>
    <t xml:space="preserve"> </t>
  </si>
  <si>
    <t>Collision with Fixed Object</t>
  </si>
  <si>
    <t>Collision with Fixed
Object</t>
  </si>
  <si>
    <t>Collision with Object Not Fixed</t>
  </si>
  <si>
    <t>Nonoccupant</t>
  </si>
  <si>
    <t>truck crash rate per million VMT</t>
  </si>
  <si>
    <t>Other</t>
  </si>
  <si>
    <t>crashes</t>
  </si>
  <si>
    <t>Noncollision</t>
  </si>
  <si>
    <t>total truck VMT (millions) (2019)</t>
  </si>
  <si>
    <t>Unknown</t>
  </si>
  <si>
    <t>Sources: FARS 2019 ARF, CRSS 2019</t>
  </si>
  <si>
    <t>Estimates less than 500 have been rounded to 0.</t>
  </si>
  <si>
    <t>National Highway Traffic Safety Administration's Traffic Safety Facts Annual Report, generated 06/16/2021 at 7:40 PM</t>
  </si>
  <si>
    <t xml:space="preserve">Notes: A large truck is defined as a truck with a gross vehicle weight rating (GVWR) greater than 10,000 pounds. Individual numbers may not add up to the totals due to independent rounding. Percentages are based on unrounded numbers.
</t>
  </si>
  <si>
    <t>Sources: FARS 2019 ARF; CRSS 2019; NHTSA Traffic Safety Facts Annual Report Tables. (2019). https://cdan.nhtsa.gov/tsftables/tsfar.htm#</t>
  </si>
  <si>
    <t>This tab would capture any incremental increases in the value of land (site rents) due to more productive uses on the site.  It should be over and above any capitalization of base travel time savings.</t>
  </si>
  <si>
    <t>VHT and PHT Savings</t>
  </si>
  <si>
    <t>Annual VHT savings</t>
  </si>
  <si>
    <t>Annual PHT/driver operator savings</t>
  </si>
  <si>
    <t>AADT Forecast</t>
  </si>
  <si>
    <t>West of I-44, WB</t>
  </si>
  <si>
    <t>West of I-44, EB</t>
  </si>
  <si>
    <t>EB Bridge over I-44</t>
  </si>
  <si>
    <t>WB Bridge over I-44</t>
  </si>
  <si>
    <t>East of I-44, WB</t>
  </si>
  <si>
    <t>East of I-44, EB</t>
  </si>
  <si>
    <t>average annual growth rate 2025-2051</t>
  </si>
  <si>
    <t>Directional</t>
  </si>
  <si>
    <t>Growth</t>
  </si>
  <si>
    <t>EB/WB West of I-44</t>
  </si>
  <si>
    <t>EB/WB Bridges over I-44</t>
  </si>
  <si>
    <t>EB/WB East of I-44</t>
  </si>
  <si>
    <t>2020 to 2025</t>
  </si>
  <si>
    <t>2025 to 2031</t>
  </si>
  <si>
    <t>2031 to 2051</t>
  </si>
  <si>
    <t>2020 to 2031</t>
  </si>
  <si>
    <t>2020 to 2051</t>
  </si>
  <si>
    <t>Value of Travel Time Saving (2020 $s)</t>
  </si>
  <si>
    <t>Value of auto passenger time savings</t>
  </si>
  <si>
    <t>Value of truck time savings</t>
  </si>
  <si>
    <t>Value of Fuel Reductions (2020$s)</t>
  </si>
  <si>
    <t>Value of Crash Reductions (2020 $s)</t>
  </si>
  <si>
    <t>Annual Crashes (2012-2021) (10 full years)</t>
  </si>
  <si>
    <t>Rear End</t>
  </si>
  <si>
    <t>Side Swipe (same direction)</t>
  </si>
  <si>
    <t>Fixed Object</t>
  </si>
  <si>
    <t>RollOver</t>
  </si>
  <si>
    <t>10-year</t>
  </si>
  <si>
    <t>avg. annual</t>
  </si>
  <si>
    <t xml:space="preserve">PDO </t>
  </si>
  <si>
    <t>Serious Injury</t>
  </si>
  <si>
    <t>Non Capacitating Injury</t>
  </si>
  <si>
    <t>Possible Injury</t>
  </si>
  <si>
    <t>Source: OKDOT</t>
  </si>
  <si>
    <t xml:space="preserve">Year of Operation </t>
  </si>
  <si>
    <t>Projected Annual Crash Reduction (Build)</t>
  </si>
  <si>
    <t>Monetized Crash Reduction Benefit</t>
  </si>
  <si>
    <t>2022 Revised BCA Guidance</t>
  </si>
  <si>
    <t>Comprehensive BCA Look Up Table</t>
  </si>
  <si>
    <t>Source</t>
  </si>
  <si>
    <t>Discount Rate</t>
  </si>
  <si>
    <t>USDOT 2022 BCA Guidance (revised)</t>
  </si>
  <si>
    <t>Crash reduction factor</t>
  </si>
  <si>
    <t>Discount Rate (Carbon Emissions)</t>
  </si>
  <si>
    <t>Annualization factor</t>
  </si>
  <si>
    <t>Occupancy - Passenger vehicles all travel</t>
  </si>
  <si>
    <t>assumption</t>
  </si>
  <si>
    <t>Average annual growth in AADT interchange area</t>
  </si>
  <si>
    <t>ODOT traffic forecast (see tab VMT-PHT Savings)</t>
  </si>
  <si>
    <t>Vehicle operating cost per mile - light duty vehicles</t>
  </si>
  <si>
    <t>Vehicle operating cost per mile - trucks</t>
  </si>
  <si>
    <t>Reduced Pavement Damage Cost</t>
  </si>
  <si>
    <t>Roadway  maintenance cost/truck VMT</t>
  </si>
  <si>
    <t>FHWA Comprehensive Truck Size and Weight Study, updated; Bai, et al, Estimating Highway Pavement Costs Attributed to Truck Traffic, 2009.</t>
  </si>
  <si>
    <t>Oxides of Nitrogen (NOx)</t>
  </si>
  <si>
    <t>MOVES3</t>
  </si>
  <si>
    <t>tons/VMT</t>
  </si>
  <si>
    <t>Car (Gasoline)</t>
  </si>
  <si>
    <t>Sulfur Dioxide (SO2)</t>
  </si>
  <si>
    <t>CO2 Equivalent</t>
  </si>
  <si>
    <t>PM2.5</t>
  </si>
  <si>
    <t>Medium Duty Truck</t>
  </si>
  <si>
    <t>Tractor Trailers</t>
  </si>
  <si>
    <t>Emissions Kilograms Per VHT</t>
  </si>
  <si>
    <t>Unit</t>
  </si>
  <si>
    <t>Vehicle Class</t>
  </si>
  <si>
    <t>AVG pollutant decrease, 2021-2025</t>
  </si>
  <si>
    <t>AVG annual % pollutant decrease, 2021-2025</t>
  </si>
  <si>
    <t>kg/VHT</t>
  </si>
  <si>
    <t xml:space="preserve">Emissions Costs Per Ton </t>
  </si>
  <si>
    <t>Nox</t>
  </si>
  <si>
    <t>USDOT 2022 BCA Guidance</t>
  </si>
  <si>
    <t>$/Metric Ton</t>
  </si>
  <si>
    <t>Sox</t>
  </si>
  <si>
    <r>
      <t>CO</t>
    </r>
    <r>
      <rPr>
        <vertAlign val="subscript"/>
        <sz val="11"/>
        <color theme="1"/>
        <rFont val="Calibri"/>
        <family val="2"/>
        <scheme val="minor"/>
      </rPr>
      <t>2</t>
    </r>
  </si>
  <si>
    <t>Value of Accidents KABCO Values ($2019)</t>
  </si>
  <si>
    <t>No injury (PDO equivalent)</t>
  </si>
  <si>
    <t>$/Crash</t>
  </si>
  <si>
    <t>Possible Injury (=OK Severity 2)</t>
  </si>
  <si>
    <t>Non-incapacitating Injury (=OK Severity 3)</t>
  </si>
  <si>
    <t>Incapacitating Injury (=OK Severity 4)</t>
  </si>
  <si>
    <t xml:space="preserve">Fatal </t>
  </si>
  <si>
    <t>Hourly Value of Time ($2019)</t>
  </si>
  <si>
    <t>Passengers (All Purposes)</t>
  </si>
  <si>
    <t>Truck Drivers</t>
  </si>
  <si>
    <t>Emissions (Metric Tons) per VMT:</t>
  </si>
  <si>
    <t>Mode</t>
  </si>
  <si>
    <t>PM 2.5</t>
  </si>
  <si>
    <t>SO2</t>
  </si>
  <si>
    <t>VOCs</t>
  </si>
  <si>
    <t>NOx</t>
  </si>
  <si>
    <t>source:  MOVES3/TREDIS</t>
  </si>
  <si>
    <t>Metric tons of avoided pollutants - cumulative (2026-2045)</t>
  </si>
  <si>
    <t xml:space="preserve">Year </t>
  </si>
  <si>
    <t>No-Build</t>
  </si>
  <si>
    <t>BUILD</t>
  </si>
  <si>
    <t xml:space="preserve"> TOTAL </t>
  </si>
  <si>
    <t>TOTAL</t>
  </si>
  <si>
    <t>Crash Modification Clearinghouse Sources: Dixon, K., K. Fitzpatrick, and R. Avelar. "Operational and Safety Trade-offs: Reducing Freeway Lane and Shoulder Width to Permit an Additional Lane". Presented at the 95th Annual Meeting of the Transportation Research Board, Paper No. 16-6835, Washington, D.C., (2016). http://www.cmfclearinghouse.org/study_detail.cfm?stid=464</t>
  </si>
  <si>
    <t xml:space="preserve">3. VOC (Fuel) Saving </t>
  </si>
  <si>
    <t>Cars</t>
  </si>
  <si>
    <t>Freight</t>
  </si>
  <si>
    <t>peak plus shoulders</t>
  </si>
  <si>
    <t>Daily</t>
  </si>
  <si>
    <t>Annual</t>
  </si>
  <si>
    <t>Route Travel Times (min)</t>
  </si>
  <si>
    <t>Period</t>
  </si>
  <si>
    <t>Direction</t>
  </si>
  <si>
    <t>All</t>
  </si>
  <si>
    <t>AM Peak</t>
  </si>
  <si>
    <t>WB</t>
  </si>
  <si>
    <t>Not Applicable</t>
  </si>
  <si>
    <t>EB</t>
  </si>
  <si>
    <t>PM Peak</t>
  </si>
  <si>
    <t>Network Travel Times (veh-hr)</t>
  </si>
  <si>
    <t xml:space="preserve">Reduced $ </t>
  </si>
  <si>
    <t>Operations commence in 2027</t>
  </si>
  <si>
    <t>25-year period of operation analysis (carries through to all subsequent sheets)</t>
  </si>
  <si>
    <t>Salvage value assumes new bridges and associated infrastructure improvements will have a 50 year useful life</t>
  </si>
  <si>
    <t>Residual Value (50-year useful life for bridges/improvements)</t>
  </si>
  <si>
    <t>SourceL  ODOT and Poe Engineers</t>
  </si>
  <si>
    <t>Average Project-wide No Build Crashes (grow at rate of AADT growth from Look Up table)</t>
  </si>
  <si>
    <t>VISSIM Results</t>
  </si>
  <si>
    <t>Inventory Costs Per Ton-Hour**</t>
  </si>
  <si>
    <t>Cost</t>
  </si>
  <si>
    <t>High-value manufacturing</t>
  </si>
  <si>
    <t>Low-value bulk commodities</t>
  </si>
  <si>
    <t>Perishable agriculture</t>
  </si>
  <si>
    <t>Average (2009 dollars)</t>
  </si>
  <si>
    <t>Average (2020 dollars)</t>
  </si>
  <si>
    <t>2009 to 2019 Inflator</t>
  </si>
  <si>
    <t>GDP Price Deflators 2020-2022</t>
  </si>
  <si>
    <t>GDP Price Deflator pre-2020</t>
  </si>
  <si>
    <t>US BEA St Louis Fed Reserve District</t>
  </si>
  <si>
    <t>GDP Price Deflator 2019-2020</t>
  </si>
  <si>
    <t>Non-Federal Sources</t>
  </si>
  <si>
    <t>State Funds</t>
  </si>
  <si>
    <t>Federal Funds</t>
  </si>
  <si>
    <t>BIP Bridge Funds</t>
  </si>
  <si>
    <t>Total Project Cost</t>
  </si>
  <si>
    <t>Incurred</t>
  </si>
  <si>
    <t>Future</t>
  </si>
  <si>
    <t>Environmental &amp; Engineering</t>
  </si>
  <si>
    <t>Right-of-Way &amp; Utilities</t>
  </si>
  <si>
    <t>Construction</t>
  </si>
  <si>
    <t>Construction Management</t>
  </si>
  <si>
    <t>Contingency &amp; Other</t>
  </si>
  <si>
    <t>TOTALS</t>
  </si>
  <si>
    <t>Activity</t>
  </si>
  <si>
    <t>FY2023</t>
  </si>
  <si>
    <t>FY2024</t>
  </si>
  <si>
    <t>FY2025</t>
  </si>
  <si>
    <t>FY2026</t>
  </si>
  <si>
    <t>FY2027</t>
  </si>
  <si>
    <t>Right-of-Way</t>
  </si>
  <si>
    <t>Previously Incurred</t>
  </si>
  <si>
    <t>Average truck payload (tons)</t>
  </si>
  <si>
    <t>TREDIS</t>
  </si>
  <si>
    <t>Low to modererate-value manufacturing</t>
  </si>
  <si>
    <t>Annual supply chain savings</t>
  </si>
  <si>
    <t>6. Freight Supply Chain (Logistics) Savings</t>
  </si>
  <si>
    <t>1. Life Cycle Cost Savings</t>
  </si>
  <si>
    <t>Truck VHT reductions</t>
  </si>
  <si>
    <t xml:space="preserve">Note: Inventory costs per ton-hour does not include direct transport costs. </t>
  </si>
  <si>
    <t>Source: NHCPR Report 732: Methodologies to Estimate the Economic Impacts of Distruptions to the Goods Movement System, 2012</t>
  </si>
  <si>
    <t>Additional No Build gallons consumed</t>
  </si>
  <si>
    <t>EV percentage</t>
  </si>
  <si>
    <t>Annualization factor for peak variables</t>
  </si>
  <si>
    <t>Annualization for average daily variables</t>
  </si>
  <si>
    <t>Motor fuel powered VMT</t>
  </si>
  <si>
    <t>No Build gallons consumed @42 mpg</t>
  </si>
  <si>
    <t>Build gallons consumed * 45 mpg</t>
  </si>
  <si>
    <t>average motor fuel cost OK 2020 net of fuel taxes</t>
  </si>
  <si>
    <t>average trip length of trips through the interchange</t>
  </si>
  <si>
    <t>Midsize Conventional Gasoline Car</t>
  </si>
  <si>
    <t>Midsize Conventional Diesel Car</t>
  </si>
  <si>
    <t>Midsize Hybrid Electric Car</t>
  </si>
  <si>
    <t>Speed (mph)</t>
  </si>
  <si>
    <t>Miles Per Gallon</t>
  </si>
  <si>
    <t> TOTAL Non-Routine</t>
  </si>
  <si>
    <t>Routine</t>
  </si>
  <si>
    <t xml:space="preserve"> Rehab </t>
  </si>
  <si>
    <t xml:space="preserve"> Bridge Damage Repair </t>
  </si>
  <si>
    <t>Rehab</t>
  </si>
  <si>
    <t>major rehab/repair</t>
  </si>
  <si>
    <t>Source: ODOT</t>
  </si>
  <si>
    <t>Travel Time Savings</t>
  </si>
  <si>
    <r>
      <rPr>
        <b/>
        <sz val="10"/>
        <color indexed="8"/>
        <rFont val="Arial"/>
        <family val="2"/>
      </rPr>
      <t>Source:</t>
    </r>
    <r>
      <rPr>
        <sz val="10"/>
        <color indexed="8"/>
        <rFont val="Arial"/>
        <family val="2"/>
      </rPr>
      <t xml:space="preserve"> Oak Ridge National Laboratory, Transportation Energy Data Book #39, Table 4.33. tedb.ornl.gov</t>
    </r>
  </si>
  <si>
    <r>
      <t xml:space="preserve">EV percentage assumptions: </t>
    </r>
    <r>
      <rPr>
        <sz val="10"/>
        <rFont val="Arial"/>
        <family val="2"/>
      </rPr>
      <t>https://graphics.reuters.com/AUTOS-ELECTRIC/USA/mopanyqxwva/</t>
    </r>
  </si>
  <si>
    <r>
      <rPr>
        <b/>
        <sz val="10"/>
        <rFont val="Arial"/>
        <family val="2"/>
      </rPr>
      <t>Oklahoma gas prices 2020</t>
    </r>
    <r>
      <rPr>
        <sz val="10"/>
        <rFont val="Arial"/>
        <family val="2"/>
      </rPr>
      <t>:  AAA and GasBuddy: http://www.okenergytoday.com/2020/04/oklahoma-gasoline-prices-fall-7-cents-in-a-week/#:~:text=GasBuddy%20reported%20four%20Oklahoma%20City%20places%20are%20still,Texas%2C%20%241.51%20in%20Arkansas%20and%20%241.56%20in%20Missouri.</t>
    </r>
  </si>
  <si>
    <t>Fuel Economy by Speed, Model Results, May 2021</t>
  </si>
  <si>
    <t>Value of additional fuel (adjusted for truck share)</t>
  </si>
  <si>
    <t>MOVES Output</t>
  </si>
  <si>
    <t>Grams/hour of travel delay (2019)*</t>
  </si>
  <si>
    <t>Tons/hour of travel delay (2019)</t>
  </si>
  <si>
    <t>Grams/hour of travel delay (2030)*</t>
  </si>
  <si>
    <t>Tons/hour of travel delay (2030)</t>
  </si>
  <si>
    <t>Grams/hour of travel delay (2045)*</t>
  </si>
  <si>
    <t>Tons/hour of travel delay (2045)</t>
  </si>
  <si>
    <r>
      <t>CO</t>
    </r>
    <r>
      <rPr>
        <vertAlign val="subscript"/>
        <sz val="11"/>
        <color rgb="FF000000"/>
        <rFont val="Calibri"/>
        <family val="2"/>
      </rPr>
      <t>2</t>
    </r>
  </si>
  <si>
    <t>VOC</t>
  </si>
  <si>
    <t>*Source: INCOG Analysis, from EPA</t>
  </si>
  <si>
    <t>Emissions Tons per VH of Delay</t>
  </si>
  <si>
    <t>Emissions per Hour of Delay</t>
  </si>
  <si>
    <t>Value of Emissions Savings (2020 $s)</t>
  </si>
  <si>
    <t xml:space="preserve">Motor Fueled Vehicle Hours of Delay </t>
  </si>
  <si>
    <t>Vehicle Hours of Delay</t>
  </si>
  <si>
    <t>Reduced Tons (adjusted for truck mix)</t>
  </si>
  <si>
    <t>MPG No Build speed (45 mph)</t>
  </si>
  <si>
    <t>MPG Build speed (55 mph)</t>
  </si>
  <si>
    <t xml:space="preserve">Annual VMT through the interchange </t>
  </si>
  <si>
    <t>Value of Supply Chain Benefits (2020$s)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</si>
</sst>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4">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000_);\(#,##0.0000\);&quot;-  &quot;;&quot; &quot;@"/>
    <numFmt numFmtId="165" formatCode="#,##0.00_);\(#,##0.00\);&quot;-  &quot;;&quot; &quot;@"/>
    <numFmt numFmtId="166" formatCode="0.000"/>
    <numFmt numFmtId="167" formatCode="0.0"/>
    <numFmt numFmtId="168" formatCode="_(* #,##0_);_(* \(#,##0\);_(* &quot;-&quot;??_);_(@_)"/>
    <numFmt numFmtId="169" formatCode="0.0%"/>
    <numFmt numFmtId="170" formatCode="&quot;$&quot;#,##0.0"/>
    <numFmt numFmtId="171" formatCode="&quot;$&quot;#,##0"/>
    <numFmt numFmtId="172" formatCode="#,##0.0000_);\(#,##0.0000\)"/>
    <numFmt numFmtId="173" formatCode="0.0000"/>
    <numFmt numFmtId="174" formatCode="0.000000"/>
    <numFmt numFmtId="175" formatCode="0.00000000000"/>
    <numFmt numFmtId="176" formatCode="0.000%"/>
    <numFmt numFmtId="177" formatCode="_(&quot;$&quot;* #,##0_);_(&quot;$&quot;* \(#,##0\);_(&quot;$&quot;* &quot;-&quot;??_);_(@_)"/>
    <numFmt numFmtId="178" formatCode="_(* #,##0.000_);_(* \(#,##0.000\);_(* &quot;-&quot;??_);_(@_)"/>
    <numFmt numFmtId="179" formatCode="###,###,###,##0"/>
    <numFmt numFmtId="180" formatCode="###################0"/>
    <numFmt numFmtId="181" formatCode="##########################0"/>
    <numFmt numFmtId="182" formatCode="##0.0"/>
    <numFmt numFmtId="183" formatCode="###################################################################0"/>
    <numFmt numFmtId="184" formatCode="####0"/>
    <numFmt numFmtId="185" formatCode="########################################0"/>
    <numFmt numFmtId="186" formatCode="_(&quot;$&quot;* #,##0.000_);_(&quot;$&quot;* \(#,##0.000\);_(&quot;$&quot;* &quot;-&quot;??_);_(@_)"/>
    <numFmt numFmtId="187" formatCode="&quot;$&quot;#,##0.00"/>
    <numFmt numFmtId="188" formatCode="_(* #,##0.00000000_);_(* \(#,##0.00000000\);_(* &quot;-&quot;??_);_(@_)"/>
    <numFmt numFmtId="189" formatCode="0_);\(0\)"/>
    <numFmt numFmtId="190" formatCode="0.00000"/>
    <numFmt numFmtId="191" formatCode="#,##0.000"/>
    <numFmt numFmtId="192" formatCode="0.000000000"/>
  </numFmts>
  <fonts count="45">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sz val="10"/>
      <name val="Arial"/>
      <family val="2"/>
    </font>
    <font>
      <vertAlign val="subscript"/>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i/>
      <sz val="11"/>
      <color rgb="FF212121"/>
      <name val="Calibri"/>
      <family val="2"/>
      <scheme val="minor"/>
    </font>
    <font>
      <sz val="8"/>
      <name val="Calibri"/>
      <family val="2"/>
      <scheme val="minor"/>
    </font>
    <font>
      <sz val="11"/>
      <color indexed="8"/>
      <name val="Calibri"/>
      <family val="2"/>
      <scheme val="minor"/>
    </font>
    <font>
      <b/>
      <vertAlign val="subscript"/>
      <sz val="11"/>
      <color theme="1"/>
      <name val="Calibri"/>
      <family val="2"/>
      <scheme val="minor"/>
    </font>
    <font>
      <sz val="11"/>
      <name val="Calibri"/>
      <family val="2"/>
      <scheme val="minor"/>
    </font>
    <font>
      <b/>
      <sz val="11"/>
      <color rgb="FFFF0000"/>
      <name val="Calibri"/>
      <family val="2"/>
      <scheme val="minor"/>
    </font>
    <font>
      <b/>
      <sz val="11"/>
      <color rgb="FF112277"/>
      <name val="Albany AMT"/>
    </font>
    <font>
      <b/>
      <sz val="9.5"/>
      <color rgb="FF112277"/>
      <name val="Albany AMT"/>
    </font>
    <font>
      <sz val="9.5"/>
      <color rgb="FF112277"/>
      <name val="Albany AMT"/>
    </font>
    <font>
      <b/>
      <sz val="10"/>
      <name val="Arial"/>
      <family val="2"/>
    </font>
    <font>
      <sz val="12"/>
      <color theme="1"/>
      <name val="Calibri"/>
      <family val="2"/>
      <scheme val="minor"/>
    </font>
    <font>
      <b/>
      <sz val="11"/>
      <name val="Calibri"/>
      <family val="2"/>
      <scheme val="minor"/>
    </font>
    <font>
      <sz val="11"/>
      <color rgb="FFFF0000"/>
      <name val="Calibri"/>
      <family val="2"/>
      <scheme val="minor"/>
    </font>
    <font>
      <sz val="11"/>
      <color theme="1"/>
      <name val="Roboto Light"/>
    </font>
    <font>
      <b/>
      <sz val="10"/>
      <color theme="1"/>
      <name val="Calibri"/>
      <family val="2"/>
      <scheme val="minor"/>
    </font>
    <font>
      <sz val="10"/>
      <color theme="1"/>
      <name val="Times New Roman"/>
      <family val="1"/>
    </font>
    <font>
      <b/>
      <sz val="11"/>
      <color rgb="FF000000"/>
      <name val="Calibri"/>
      <family val="2"/>
    </font>
    <font>
      <sz val="11"/>
      <color rgb="FF000000"/>
      <name val="Calibri"/>
      <family val="2"/>
    </font>
    <font>
      <sz val="11"/>
      <color rgb="FF006100"/>
      <name val="Calibri"/>
      <family val="2"/>
      <scheme val="minor"/>
    </font>
    <font>
      <sz val="11"/>
      <color rgb="FF000000"/>
      <name val="Calibri"/>
      <family val="2"/>
    </font>
    <font>
      <b/>
      <sz val="11"/>
      <color rgb="FFFFFFFF"/>
      <name val="Calibri"/>
      <family val="2"/>
    </font>
    <font>
      <sz val="11"/>
      <color rgb="FFFFFFFF"/>
      <name val="Arial Black"/>
      <family val="2"/>
    </font>
    <font>
      <b/>
      <sz val="11"/>
      <color rgb="FFFFFFFF"/>
      <name val="Arial Black"/>
      <family val="2"/>
    </font>
    <font>
      <sz val="11"/>
      <color theme="1"/>
      <name val="Calibri"/>
      <family val="2"/>
    </font>
    <font>
      <b/>
      <sz val="12"/>
      <color rgb="FF000000"/>
      <name val="Calibri"/>
      <family val="2"/>
    </font>
    <font>
      <b/>
      <sz val="12"/>
      <color rgb="FFFFFFFF"/>
      <name val="Calibri"/>
      <family val="2"/>
    </font>
    <font>
      <sz val="12"/>
      <color rgb="FFFFFFFF"/>
      <name val="Calibri"/>
      <family val="2"/>
    </font>
    <font>
      <sz val="12"/>
      <color rgb="FF3B3B3B"/>
      <name val="Calibri"/>
      <family val="2"/>
    </font>
    <font>
      <u/>
      <sz val="11"/>
      <color theme="1"/>
      <name val="Calibri"/>
      <family val="2"/>
      <scheme val="minor"/>
    </font>
    <font>
      <sz val="10"/>
      <color theme="1"/>
      <name val="Arial"/>
      <family val="2"/>
    </font>
    <font>
      <b/>
      <sz val="10"/>
      <color theme="1"/>
      <name val="Arial"/>
      <family val="2"/>
    </font>
    <font>
      <sz val="10"/>
      <color indexed="8"/>
      <name val="Arial"/>
      <family val="2"/>
    </font>
    <font>
      <b/>
      <sz val="10"/>
      <color indexed="8"/>
      <name val="Arial"/>
      <family val="2"/>
    </font>
    <font>
      <vertAlign val="subscript"/>
      <sz val="11"/>
      <color rgb="FF000000"/>
      <name val="Calibri"/>
      <family val="2"/>
    </font>
  </fonts>
  <fills count="1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bgColor indexed="64"/>
      </patternFill>
    </fill>
    <fill>
      <patternFill patternType="solid">
        <fgColor rgb="FFC6EFCE"/>
      </patternFill>
    </fill>
    <fill>
      <patternFill patternType="solid">
        <fgColor rgb="FF2F75B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054F98"/>
        <bgColor indexed="64"/>
      </patternFill>
    </fill>
    <fill>
      <patternFill patternType="solid">
        <fgColor theme="5" tint="0.79998168889431442"/>
        <bgColor indexed="64"/>
      </patternFill>
    </fill>
  </fills>
  <borders count="89">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B0B7BB"/>
      </right>
      <top style="thin">
        <color rgb="FFB0B7BB"/>
      </top>
      <bottom style="thin">
        <color rgb="FFB0B7BB"/>
      </bottom>
      <diagonal/>
    </border>
    <border>
      <left style="thin">
        <color rgb="FFB0B7BB"/>
      </left>
      <right style="thin">
        <color rgb="FFB0B7BB"/>
      </right>
      <top style="thin">
        <color rgb="FFB0B7BB"/>
      </top>
      <bottom style="thin">
        <color rgb="FFB0B7BB"/>
      </bottom>
      <diagonal/>
    </border>
    <border>
      <left style="thin">
        <color rgb="FFB0B7BB"/>
      </left>
      <right style="medium">
        <color indexed="64"/>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C1C1C1"/>
      </left>
      <right style="medium">
        <color indexed="64"/>
      </right>
      <top style="thin">
        <color rgb="FFC1C1C1"/>
      </top>
      <bottom style="thin">
        <color rgb="FFC1C1C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rgb="FFB0B7BB"/>
      </right>
      <top/>
      <bottom/>
      <diagonal/>
    </border>
    <border>
      <left style="thin">
        <color rgb="FFC1C1C1"/>
      </left>
      <right style="thin">
        <color rgb="FFC1C1C1"/>
      </right>
      <top/>
      <bottom/>
      <diagonal/>
    </border>
    <border>
      <left style="thin">
        <color rgb="FFC1C1C1"/>
      </left>
      <right/>
      <top/>
      <bottom/>
      <diagonal/>
    </border>
    <border>
      <left style="thin">
        <color theme="0" tint="-0.14999847407452621"/>
      </left>
      <right style="thin">
        <color theme="0" tint="-0.14999847407452621"/>
      </right>
      <top style="thin">
        <color theme="0" tint="-0.149998474074526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medium">
        <color indexed="64"/>
      </right>
      <top/>
      <bottom style="thin">
        <color theme="0" tint="-0.249977111117893"/>
      </bottom>
      <diagonal/>
    </border>
    <border>
      <left style="medium">
        <color indexed="64"/>
      </left>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indexed="64"/>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rgb="FFEEEEEE"/>
      </left>
      <right style="thick">
        <color rgb="FFEEEEEE"/>
      </right>
      <top style="thick">
        <color rgb="FFEEEEEE"/>
      </top>
      <bottom/>
      <diagonal/>
    </border>
    <border>
      <left style="thick">
        <color rgb="FFEEEEEE"/>
      </left>
      <right style="thick">
        <color rgb="FFEEEEEE"/>
      </right>
      <top/>
      <bottom/>
      <diagonal/>
    </border>
    <border>
      <left style="thick">
        <color rgb="FFEEEEEE"/>
      </left>
      <right style="thick">
        <color rgb="FFEEEEEE"/>
      </right>
      <top/>
      <bottom style="thick">
        <color rgb="FFEEEEEE"/>
      </bottom>
      <diagonal/>
    </border>
    <border>
      <left/>
      <right style="thick">
        <color rgb="FFEEEEEE"/>
      </right>
      <top style="thick">
        <color rgb="FFEEEEEE"/>
      </top>
      <bottom style="thick">
        <color rgb="FFEEEEEE"/>
      </bottom>
      <diagonal/>
    </border>
    <border>
      <left/>
      <right style="thick">
        <color rgb="FFEEEEEE"/>
      </right>
      <top style="thick">
        <color rgb="FFEEEEEE"/>
      </top>
      <bottom/>
      <diagonal/>
    </border>
    <border>
      <left/>
      <right/>
      <top/>
      <bottom style="thick">
        <color rgb="FFEEEEEE"/>
      </bottom>
      <diagonal/>
    </border>
    <border>
      <left/>
      <right style="thick">
        <color rgb="FFEEEEEE"/>
      </right>
      <top/>
      <bottom style="thick">
        <color rgb="FFEEEEEE"/>
      </bottom>
      <diagonal/>
    </border>
    <border>
      <left style="thick">
        <color rgb="FFEEEEEE"/>
      </left>
      <right/>
      <top/>
      <bottom style="thick">
        <color rgb="FFEEEEEE"/>
      </bottom>
      <diagonal/>
    </border>
    <border>
      <left style="thick">
        <color rgb="FFEEEEEE"/>
      </left>
      <right/>
      <top style="thick">
        <color rgb="FFEEEEEE"/>
      </top>
      <bottom/>
      <diagonal/>
    </border>
    <border>
      <left style="thick">
        <color rgb="FFEEEEEE"/>
      </left>
      <right style="thick">
        <color rgb="FFEEEEEE"/>
      </right>
      <top style="thick">
        <color rgb="FFEEEEEE"/>
      </top>
      <bottom style="thick">
        <color rgb="FFEEEEEE"/>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29" fillId="11" borderId="0" applyNumberFormat="0" applyBorder="0" applyAlignment="0" applyProtection="0"/>
  </cellStyleXfs>
  <cellXfs count="472">
    <xf numFmtId="0" fontId="0" fillId="0" borderId="0" xfId="0"/>
    <xf numFmtId="0" fontId="0" fillId="0" borderId="0" xfId="0" applyAlignment="1">
      <alignment horizontal="right"/>
    </xf>
    <xf numFmtId="2" fontId="0" fillId="0" borderId="0" xfId="0" applyNumberFormat="1"/>
    <xf numFmtId="166" fontId="0" fillId="0" borderId="0" xfId="0" applyNumberFormat="1"/>
    <xf numFmtId="0" fontId="7" fillId="0" borderId="0" xfId="0" applyFont="1"/>
    <xf numFmtId="44" fontId="0" fillId="0" borderId="0" xfId="4" applyFont="1"/>
    <xf numFmtId="44" fontId="0" fillId="0" borderId="0" xfId="0" applyNumberFormat="1"/>
    <xf numFmtId="168" fontId="0" fillId="0" borderId="0" xfId="1" applyNumberFormat="1" applyFont="1"/>
    <xf numFmtId="168" fontId="0" fillId="0" borderId="0" xfId="0" applyNumberFormat="1"/>
    <xf numFmtId="44" fontId="0" fillId="0" borderId="0" xfId="4" applyFont="1" applyFill="1"/>
    <xf numFmtId="0" fontId="3" fillId="0" borderId="0" xfId="0" applyFont="1" applyAlignment="1">
      <alignment horizontal="right"/>
    </xf>
    <xf numFmtId="44" fontId="0" fillId="0" borderId="0" xfId="4" applyFont="1" applyFill="1" applyBorder="1"/>
    <xf numFmtId="168" fontId="0" fillId="0" borderId="0" xfId="1" applyNumberFormat="1" applyFont="1" applyBorder="1"/>
    <xf numFmtId="0" fontId="3" fillId="0" borderId="0" xfId="0" applyFont="1" applyAlignment="1">
      <alignment horizontal="left" vertical="top"/>
    </xf>
    <xf numFmtId="167" fontId="0" fillId="0" borderId="0" xfId="0" applyNumberFormat="1"/>
    <xf numFmtId="165" fontId="0" fillId="0" borderId="0" xfId="3" applyNumberFormat="1" applyFont="1" applyBorder="1"/>
    <xf numFmtId="0" fontId="2" fillId="0" borderId="0" xfId="0" applyFont="1"/>
    <xf numFmtId="0" fontId="3" fillId="0" borderId="0" xfId="0" applyFont="1"/>
    <xf numFmtId="0" fontId="0" fillId="0" borderId="0" xfId="0" applyAlignment="1">
      <alignment horizontal="left" vertical="top"/>
    </xf>
    <xf numFmtId="1" fontId="0" fillId="0" borderId="0" xfId="0" applyNumberFormat="1"/>
    <xf numFmtId="0" fontId="4" fillId="0" borderId="0" xfId="2" applyFill="1" applyBorder="1" applyAlignment="1">
      <alignment horizontal="left" vertical="top"/>
    </xf>
    <xf numFmtId="44" fontId="1" fillId="0" borderId="0" xfId="4" applyFont="1" applyFill="1" applyBorder="1" applyAlignment="1">
      <alignment horizontal="right"/>
    </xf>
    <xf numFmtId="170" fontId="0" fillId="0" borderId="0" xfId="4" applyNumberFormat="1" applyFont="1" applyFill="1" applyBorder="1"/>
    <xf numFmtId="0" fontId="8" fillId="0" borderId="0" xfId="0" applyFont="1" applyAlignment="1">
      <alignment horizontal="left" vertical="top"/>
    </xf>
    <xf numFmtId="5" fontId="0" fillId="0" borderId="0" xfId="0" applyNumberFormat="1"/>
    <xf numFmtId="0" fontId="4" fillId="0" borderId="0" xfId="2" applyAlignment="1">
      <alignment vertical="center"/>
    </xf>
    <xf numFmtId="0" fontId="4" fillId="0" borderId="0" xfId="2"/>
    <xf numFmtId="0" fontId="11" fillId="0" borderId="0" xfId="0" applyFont="1" applyAlignment="1">
      <alignment vertical="center"/>
    </xf>
    <xf numFmtId="173" fontId="2" fillId="0" borderId="0" xfId="1" applyNumberFormat="1" applyFont="1" applyFill="1"/>
    <xf numFmtId="173" fontId="0" fillId="0" borderId="0" xfId="1" applyNumberFormat="1" applyFont="1" applyFill="1"/>
    <xf numFmtId="172" fontId="1" fillId="0" borderId="0" xfId="1" applyNumberFormat="1" applyFont="1" applyFill="1"/>
    <xf numFmtId="5" fontId="1" fillId="0" borderId="0" xfId="1" applyNumberFormat="1" applyFont="1" applyFill="1"/>
    <xf numFmtId="5" fontId="2" fillId="0" borderId="0" xfId="1" applyNumberFormat="1" applyFont="1" applyFill="1"/>
    <xf numFmtId="0" fontId="0" fillId="0" borderId="0" xfId="0" applyAlignment="1">
      <alignment vertical="top"/>
    </xf>
    <xf numFmtId="0" fontId="0" fillId="0" borderId="0" xfId="0" applyAlignment="1">
      <alignment wrapText="1"/>
    </xf>
    <xf numFmtId="174" fontId="0" fillId="0" borderId="0" xfId="0" applyNumberFormat="1"/>
    <xf numFmtId="0" fontId="2" fillId="3" borderId="0" xfId="0" applyFont="1" applyFill="1" applyAlignment="1">
      <alignment horizontal="left"/>
    </xf>
    <xf numFmtId="0" fontId="0" fillId="3" borderId="0" xfId="0" applyFill="1"/>
    <xf numFmtId="0" fontId="0" fillId="3" borderId="0" xfId="0" applyFill="1" applyAlignment="1">
      <alignment horizontal="right"/>
    </xf>
    <xf numFmtId="0" fontId="0" fillId="0" borderId="0" xfId="0" applyAlignment="1">
      <alignment horizontal="right" vertical="top"/>
    </xf>
    <xf numFmtId="0" fontId="3" fillId="4" borderId="0" xfId="0" applyFont="1" applyFill="1" applyAlignment="1">
      <alignment horizontal="left" vertical="top"/>
    </xf>
    <xf numFmtId="0" fontId="0" fillId="4" borderId="0" xfId="0" applyFill="1" applyAlignment="1">
      <alignment horizontal="right" vertical="top"/>
    </xf>
    <xf numFmtId="0" fontId="0" fillId="4" borderId="0" xfId="0" applyFill="1"/>
    <xf numFmtId="0" fontId="3" fillId="4" borderId="0" xfId="0" applyFont="1" applyFill="1" applyAlignment="1">
      <alignment horizontal="left" wrapText="1"/>
    </xf>
    <xf numFmtId="0" fontId="0" fillId="4" borderId="0" xfId="0" applyFill="1" applyAlignment="1">
      <alignment horizontal="right"/>
    </xf>
    <xf numFmtId="0" fontId="2" fillId="4" borderId="0" xfId="0" applyFont="1" applyFill="1"/>
    <xf numFmtId="174" fontId="0" fillId="3" borderId="0" xfId="0" applyNumberFormat="1" applyFill="1"/>
    <xf numFmtId="0" fontId="0" fillId="3" borderId="0" xfId="0" applyFill="1" applyAlignment="1">
      <alignment wrapText="1"/>
    </xf>
    <xf numFmtId="173" fontId="1" fillId="0" borderId="0" xfId="1" applyNumberFormat="1" applyFont="1" applyFill="1"/>
    <xf numFmtId="175" fontId="0" fillId="0" borderId="0" xfId="1" applyNumberFormat="1" applyFont="1" applyFill="1"/>
    <xf numFmtId="175" fontId="2" fillId="0" borderId="0" xfId="1" applyNumberFormat="1" applyFont="1" applyFill="1"/>
    <xf numFmtId="175" fontId="1" fillId="0" borderId="0" xfId="1" applyNumberFormat="1" applyFont="1" applyFill="1"/>
    <xf numFmtId="176" fontId="0" fillId="0" borderId="0" xfId="5" applyNumberFormat="1" applyFont="1" applyFill="1" applyBorder="1"/>
    <xf numFmtId="0" fontId="0" fillId="3" borderId="2" xfId="0" applyFill="1" applyBorder="1" applyAlignment="1">
      <alignment wrapText="1"/>
    </xf>
    <xf numFmtId="0" fontId="0" fillId="0" borderId="3" xfId="0" applyBorder="1"/>
    <xf numFmtId="0" fontId="0" fillId="0" borderId="4" xfId="0" applyBorder="1"/>
    <xf numFmtId="176" fontId="0" fillId="5" borderId="1" xfId="5" applyNumberFormat="1" applyFont="1" applyFill="1" applyBorder="1"/>
    <xf numFmtId="167" fontId="0" fillId="5" borderId="0" xfId="0" applyNumberFormat="1" applyFill="1"/>
    <xf numFmtId="167" fontId="0" fillId="5" borderId="5" xfId="0" applyNumberFormat="1" applyFill="1" applyBorder="1"/>
    <xf numFmtId="167" fontId="0" fillId="5" borderId="1" xfId="0" applyNumberFormat="1" applyFill="1" applyBorder="1"/>
    <xf numFmtId="176" fontId="0" fillId="5" borderId="6" xfId="5" applyNumberFormat="1" applyFont="1" applyFill="1" applyBorder="1"/>
    <xf numFmtId="167" fontId="0" fillId="5" borderId="7" xfId="0" applyNumberFormat="1" applyFill="1" applyBorder="1"/>
    <xf numFmtId="167" fontId="0" fillId="5" borderId="8" xfId="0" applyNumberFormat="1" applyFill="1" applyBorder="1"/>
    <xf numFmtId="0" fontId="0" fillId="2" borderId="0" xfId="0" applyFill="1"/>
    <xf numFmtId="177" fontId="0" fillId="0" borderId="0" xfId="4" applyNumberFormat="1" applyFont="1"/>
    <xf numFmtId="171" fontId="0" fillId="0" borderId="0" xfId="4" applyNumberFormat="1" applyFont="1" applyFill="1" applyBorder="1"/>
    <xf numFmtId="178" fontId="0" fillId="0" borderId="0" xfId="1" applyNumberFormat="1" applyFont="1"/>
    <xf numFmtId="178" fontId="0" fillId="2" borderId="0" xfId="1" applyNumberFormat="1" applyFont="1" applyFill="1"/>
    <xf numFmtId="178" fontId="1" fillId="0" borderId="0" xfId="1" applyNumberFormat="1" applyFont="1"/>
    <xf numFmtId="171" fontId="0" fillId="0" borderId="0" xfId="4" applyNumberFormat="1" applyFont="1" applyFill="1" applyBorder="1" applyAlignment="1">
      <alignment horizontal="right"/>
    </xf>
    <xf numFmtId="171" fontId="2" fillId="0" borderId="0" xfId="4" applyNumberFormat="1" applyFont="1" applyFill="1" applyBorder="1" applyAlignment="1">
      <alignment horizontal="right"/>
    </xf>
    <xf numFmtId="171" fontId="0" fillId="0" borderId="0" xfId="0" applyNumberFormat="1" applyAlignment="1">
      <alignment horizontal="right"/>
    </xf>
    <xf numFmtId="0" fontId="2" fillId="0" borderId="0" xfId="0" applyFont="1" applyAlignment="1">
      <alignment horizontal="left" vertical="top"/>
    </xf>
    <xf numFmtId="0" fontId="9" fillId="0" borderId="0" xfId="0" applyFont="1" applyAlignment="1">
      <alignment horizontal="right" vertical="center"/>
    </xf>
    <xf numFmtId="166" fontId="9" fillId="0" borderId="0" xfId="0" applyNumberFormat="1" applyFont="1" applyAlignment="1">
      <alignment horizontal="right" vertical="center"/>
    </xf>
    <xf numFmtId="0" fontId="3" fillId="0" borderId="0" xfId="0" applyFont="1" applyAlignment="1">
      <alignment horizontal="center"/>
    </xf>
    <xf numFmtId="0" fontId="0" fillId="0" borderId="1" xfId="0" applyBorder="1"/>
    <xf numFmtId="0" fontId="0" fillId="0" borderId="0" xfId="0" applyAlignment="1">
      <alignment horizontal="left" wrapText="1"/>
    </xf>
    <xf numFmtId="0" fontId="10" fillId="0" borderId="0" xfId="0" applyFont="1"/>
    <xf numFmtId="0" fontId="15" fillId="0" borderId="0" xfId="0" applyFont="1"/>
    <xf numFmtId="0" fontId="0" fillId="0" borderId="0" xfId="0" applyAlignment="1">
      <alignment horizontal="left"/>
    </xf>
    <xf numFmtId="0" fontId="0" fillId="0" borderId="6" xfId="0" applyBorder="1"/>
    <xf numFmtId="172" fontId="2" fillId="0" borderId="0" xfId="1" applyNumberFormat="1" applyFont="1" applyFill="1"/>
    <xf numFmtId="0" fontId="0" fillId="6" borderId="1" xfId="0" applyFill="1" applyBorder="1" applyAlignment="1">
      <alignment horizontal="left"/>
    </xf>
    <xf numFmtId="0" fontId="0" fillId="6" borderId="0" xfId="0" applyFill="1" applyAlignment="1">
      <alignment horizontal="left"/>
    </xf>
    <xf numFmtId="0" fontId="0" fillId="6" borderId="5" xfId="0" applyFill="1" applyBorder="1" applyAlignment="1">
      <alignment horizontal="left"/>
    </xf>
    <xf numFmtId="169" fontId="0" fillId="0" borderId="0" xfId="5" applyNumberFormat="1" applyFont="1" applyBorder="1"/>
    <xf numFmtId="0" fontId="18" fillId="7" borderId="11" xfId="0" applyFont="1" applyFill="1" applyBorder="1" applyAlignment="1">
      <alignment horizontal="center"/>
    </xf>
    <xf numFmtId="0" fontId="18" fillId="7" borderId="12" xfId="0" applyFont="1" applyFill="1" applyBorder="1" applyAlignment="1">
      <alignment horizontal="center"/>
    </xf>
    <xf numFmtId="181" fontId="18" fillId="7" borderId="11" xfId="0" applyNumberFormat="1" applyFont="1" applyFill="1" applyBorder="1" applyAlignment="1">
      <alignment horizontal="left" vertical="top"/>
    </xf>
    <xf numFmtId="179" fontId="0" fillId="8" borderId="13" xfId="0" applyNumberFormat="1" applyFill="1" applyBorder="1" applyAlignment="1">
      <alignment horizontal="right"/>
    </xf>
    <xf numFmtId="182" fontId="0" fillId="8" borderId="13" xfId="0" applyNumberFormat="1" applyFill="1" applyBorder="1" applyAlignment="1">
      <alignment horizontal="right"/>
    </xf>
    <xf numFmtId="182" fontId="0" fillId="8" borderId="14" xfId="0" applyNumberFormat="1" applyFill="1" applyBorder="1" applyAlignment="1">
      <alignment horizontal="right"/>
    </xf>
    <xf numFmtId="0" fontId="0" fillId="0" borderId="2" xfId="0" applyBorder="1"/>
    <xf numFmtId="0" fontId="5" fillId="0" borderId="0" xfId="0" applyFont="1"/>
    <xf numFmtId="0" fontId="0" fillId="0" borderId="5" xfId="0" applyBorder="1"/>
    <xf numFmtId="177" fontId="0" fillId="9" borderId="9" xfId="0" applyNumberFormat="1" applyFill="1" applyBorder="1"/>
    <xf numFmtId="0" fontId="0" fillId="0" borderId="7" xfId="0" applyBorder="1"/>
    <xf numFmtId="0" fontId="0" fillId="0" borderId="8" xfId="0" applyBorder="1"/>
    <xf numFmtId="0" fontId="18" fillId="7" borderId="11" xfId="0" applyFont="1" applyFill="1" applyBorder="1" applyAlignment="1">
      <alignment horizontal="left" vertical="top" wrapText="1"/>
    </xf>
    <xf numFmtId="184" fontId="0" fillId="8" borderId="13" xfId="0" applyNumberFormat="1" applyFill="1" applyBorder="1" applyAlignment="1">
      <alignment horizontal="right"/>
    </xf>
    <xf numFmtId="173" fontId="0" fillId="9" borderId="9" xfId="0" applyNumberFormat="1" applyFill="1" applyBorder="1"/>
    <xf numFmtId="0" fontId="0" fillId="0" borderId="15" xfId="0" applyBorder="1"/>
    <xf numFmtId="0" fontId="0" fillId="0" borderId="16" xfId="0" applyBorder="1"/>
    <xf numFmtId="179" fontId="0" fillId="10" borderId="15" xfId="0" applyNumberFormat="1" applyFill="1" applyBorder="1"/>
    <xf numFmtId="0" fontId="0" fillId="0" borderId="17" xfId="0" applyBorder="1"/>
    <xf numFmtId="183" fontId="18" fillId="7" borderId="10" xfId="0" applyNumberFormat="1" applyFont="1" applyFill="1" applyBorder="1" applyAlignment="1">
      <alignment horizontal="left" vertical="top"/>
    </xf>
    <xf numFmtId="179" fontId="2" fillId="8" borderId="13" xfId="0" applyNumberFormat="1" applyFont="1" applyFill="1" applyBorder="1" applyAlignment="1">
      <alignment horizontal="right"/>
    </xf>
    <xf numFmtId="182" fontId="2" fillId="8" borderId="13" xfId="0" applyNumberFormat="1" applyFont="1" applyFill="1" applyBorder="1" applyAlignment="1">
      <alignment horizontal="right"/>
    </xf>
    <xf numFmtId="182" fontId="2" fillId="8" borderId="14" xfId="0" applyNumberFormat="1" applyFont="1" applyFill="1" applyBorder="1" applyAlignment="1">
      <alignment horizontal="right"/>
    </xf>
    <xf numFmtId="0" fontId="0" fillId="0" borderId="18" xfId="0" applyBorder="1"/>
    <xf numFmtId="0" fontId="18" fillId="10" borderId="19" xfId="0" applyFont="1" applyFill="1" applyBorder="1" applyAlignment="1">
      <alignment horizontal="left" vertical="top"/>
    </xf>
    <xf numFmtId="180" fontId="18" fillId="10" borderId="20" xfId="0" applyNumberFormat="1" applyFont="1" applyFill="1" applyBorder="1" applyAlignment="1">
      <alignment horizontal="left" vertical="top"/>
    </xf>
    <xf numFmtId="179" fontId="0" fillId="10" borderId="21" xfId="0" applyNumberFormat="1" applyFill="1" applyBorder="1" applyAlignment="1">
      <alignment horizontal="right"/>
    </xf>
    <xf numFmtId="182" fontId="0" fillId="10" borderId="21" xfId="0" applyNumberFormat="1" applyFill="1" applyBorder="1" applyAlignment="1">
      <alignment horizontal="right"/>
    </xf>
    <xf numFmtId="179" fontId="0" fillId="10" borderId="22" xfId="0" applyNumberFormat="1" applyFill="1" applyBorder="1" applyAlignment="1">
      <alignment horizontal="right"/>
    </xf>
    <xf numFmtId="182" fontId="0" fillId="10" borderId="19" xfId="0" applyNumberFormat="1" applyFill="1" applyBorder="1" applyAlignment="1">
      <alignment horizontal="right"/>
    </xf>
    <xf numFmtId="182" fontId="0" fillId="10" borderId="18" xfId="0" applyNumberFormat="1" applyFill="1" applyBorder="1" applyAlignment="1">
      <alignment horizontal="right"/>
    </xf>
    <xf numFmtId="179" fontId="0" fillId="10" borderId="18" xfId="0" applyNumberFormat="1" applyFill="1" applyBorder="1" applyAlignment="1">
      <alignment horizontal="right"/>
    </xf>
    <xf numFmtId="0" fontId="18" fillId="10" borderId="18" xfId="0" applyFont="1" applyFill="1" applyBorder="1" applyAlignment="1">
      <alignment horizontal="left" vertical="top"/>
    </xf>
    <xf numFmtId="180" fontId="18" fillId="10" borderId="18" xfId="0" applyNumberFormat="1" applyFont="1" applyFill="1" applyBorder="1" applyAlignment="1">
      <alignment horizontal="left" vertical="top"/>
    </xf>
    <xf numFmtId="3" fontId="20" fillId="0" borderId="0" xfId="0" applyNumberFormat="1" applyFont="1" applyAlignment="1">
      <alignment horizontal="right" indent="1"/>
    </xf>
    <xf numFmtId="185" fontId="18" fillId="10" borderId="18" xfId="0" applyNumberFormat="1" applyFont="1" applyFill="1" applyBorder="1" applyAlignment="1">
      <alignment horizontal="left" vertical="top"/>
    </xf>
    <xf numFmtId="184" fontId="0" fillId="10" borderId="18" xfId="0" applyNumberFormat="1" applyFill="1" applyBorder="1" applyAlignment="1">
      <alignment horizontal="right"/>
    </xf>
    <xf numFmtId="169" fontId="0" fillId="0" borderId="0" xfId="5" applyNumberFormat="1" applyFont="1"/>
    <xf numFmtId="3" fontId="0" fillId="0" borderId="7" xfId="0" applyNumberFormat="1" applyBorder="1"/>
    <xf numFmtId="179" fontId="0" fillId="0" borderId="0" xfId="0" applyNumberFormat="1"/>
    <xf numFmtId="179" fontId="0" fillId="0" borderId="7" xfId="0" applyNumberFormat="1" applyBorder="1"/>
    <xf numFmtId="9" fontId="0" fillId="0" borderId="7" xfId="0" applyNumberFormat="1" applyBorder="1"/>
    <xf numFmtId="177" fontId="0" fillId="0" borderId="1" xfId="4" applyNumberFormat="1" applyFont="1" applyBorder="1"/>
    <xf numFmtId="6" fontId="0" fillId="0" borderId="1" xfId="0" applyNumberFormat="1" applyBorder="1"/>
    <xf numFmtId="177" fontId="0" fillId="0" borderId="6" xfId="4" applyNumberFormat="1" applyFont="1" applyBorder="1"/>
    <xf numFmtId="169" fontId="0" fillId="0" borderId="0" xfId="5" applyNumberFormat="1" applyFont="1" applyFill="1"/>
    <xf numFmtId="0" fontId="0" fillId="10" borderId="23" xfId="0" applyFill="1" applyBorder="1" applyAlignment="1">
      <alignment horizontal="right"/>
    </xf>
    <xf numFmtId="177" fontId="0" fillId="0" borderId="0" xfId="4" applyNumberFormat="1" applyFont="1" applyFill="1"/>
    <xf numFmtId="177" fontId="2" fillId="0" borderId="0" xfId="0" applyNumberFormat="1" applyFont="1"/>
    <xf numFmtId="186" fontId="0" fillId="0" borderId="0" xfId="4" applyNumberFormat="1" applyFont="1" applyFill="1"/>
    <xf numFmtId="2" fontId="0" fillId="0" borderId="0" xfId="1" applyNumberFormat="1" applyFont="1" applyFill="1"/>
    <xf numFmtId="44" fontId="0" fillId="0" borderId="0" xfId="4" applyFont="1" applyFill="1" applyBorder="1" applyAlignment="1">
      <alignment horizontal="right"/>
    </xf>
    <xf numFmtId="169" fontId="0" fillId="0" borderId="0" xfId="5" applyNumberFormat="1" applyFont="1" applyFill="1" applyBorder="1"/>
    <xf numFmtId="0" fontId="0" fillId="0" borderId="0" xfId="0" applyAlignment="1">
      <alignment horizontal="center"/>
    </xf>
    <xf numFmtId="171" fontId="13" fillId="0" borderId="0" xfId="6" applyNumberFormat="1" applyAlignment="1">
      <alignment horizontal="center" vertical="center"/>
    </xf>
    <xf numFmtId="0" fontId="3" fillId="0" borderId="0" xfId="0" applyFont="1" applyAlignment="1">
      <alignment horizontal="left"/>
    </xf>
    <xf numFmtId="187" fontId="3" fillId="0" borderId="0" xfId="0" applyNumberFormat="1" applyFont="1"/>
    <xf numFmtId="171" fontId="0" fillId="0" borderId="0" xfId="4" applyNumberFormat="1" applyFont="1" applyFill="1"/>
    <xf numFmtId="187" fontId="1" fillId="0" borderId="0" xfId="4" applyNumberFormat="1" applyFont="1" applyFill="1" applyBorder="1"/>
    <xf numFmtId="170" fontId="2" fillId="0" borderId="0" xfId="4" applyNumberFormat="1" applyFont="1" applyFill="1" applyBorder="1"/>
    <xf numFmtId="0" fontId="0" fillId="0" borderId="0" xfId="0" applyAlignment="1">
      <alignment horizontal="center" wrapText="1"/>
    </xf>
    <xf numFmtId="177" fontId="0" fillId="0" borderId="0" xfId="0" applyNumberFormat="1"/>
    <xf numFmtId="176" fontId="0" fillId="5" borderId="0" xfId="5" applyNumberFormat="1" applyFont="1" applyFill="1" applyBorder="1"/>
    <xf numFmtId="1" fontId="0" fillId="0" borderId="3" xfId="0" applyNumberFormat="1" applyBorder="1"/>
    <xf numFmtId="165" fontId="0" fillId="0" borderId="3" xfId="3" applyNumberFormat="1" applyFont="1" applyBorder="1"/>
    <xf numFmtId="0" fontId="0" fillId="0" borderId="4" xfId="3" applyNumberFormat="1" applyFont="1" applyBorder="1"/>
    <xf numFmtId="0" fontId="2" fillId="3" borderId="1" xfId="0" applyFont="1" applyFill="1" applyBorder="1" applyAlignment="1">
      <alignment horizontal="left"/>
    </xf>
    <xf numFmtId="165" fontId="0" fillId="0" borderId="5" xfId="3" applyNumberFormat="1" applyFont="1" applyBorder="1"/>
    <xf numFmtId="0" fontId="0" fillId="0" borderId="1" xfId="0" applyBorder="1" applyAlignment="1">
      <alignment horizontal="right"/>
    </xf>
    <xf numFmtId="11" fontId="0" fillId="0" borderId="5" xfId="0" applyNumberFormat="1" applyBorder="1"/>
    <xf numFmtId="174" fontId="0" fillId="3" borderId="5" xfId="0" applyNumberFormat="1" applyFill="1" applyBorder="1"/>
    <xf numFmtId="0" fontId="0" fillId="0" borderId="6" xfId="0" applyBorder="1" applyAlignment="1">
      <alignment horizontal="right"/>
    </xf>
    <xf numFmtId="0" fontId="0" fillId="0" borderId="7" xfId="0" applyBorder="1" applyAlignment="1">
      <alignment horizontal="right"/>
    </xf>
    <xf numFmtId="174" fontId="0" fillId="0" borderId="7" xfId="0" applyNumberFormat="1" applyBorder="1"/>
    <xf numFmtId="11" fontId="0" fillId="0" borderId="8" xfId="0" applyNumberFormat="1" applyBorder="1"/>
    <xf numFmtId="0" fontId="2" fillId="0" borderId="2" xfId="0" applyFont="1" applyBorder="1"/>
    <xf numFmtId="1" fontId="0" fillId="0" borderId="0" xfId="1" applyNumberFormat="1" applyFont="1" applyBorder="1"/>
    <xf numFmtId="6" fontId="0" fillId="0" borderId="0" xfId="0" applyNumberFormat="1"/>
    <xf numFmtId="2" fontId="0" fillId="0" borderId="0" xfId="4" applyNumberFormat="1" applyFont="1"/>
    <xf numFmtId="0" fontId="0" fillId="0" borderId="31" xfId="0" applyBorder="1"/>
    <xf numFmtId="0" fontId="0" fillId="0" borderId="32" xfId="0" applyBorder="1"/>
    <xf numFmtId="0" fontId="0" fillId="0" borderId="33" xfId="0" applyBorder="1"/>
    <xf numFmtId="0" fontId="22" fillId="0" borderId="24" xfId="0" applyFont="1" applyBorder="1"/>
    <xf numFmtId="0" fontId="22" fillId="0" borderId="25" xfId="0" applyFont="1" applyBorder="1"/>
    <xf numFmtId="0" fontId="22" fillId="0" borderId="26" xfId="0" applyFont="1" applyBorder="1"/>
    <xf numFmtId="11" fontId="0" fillId="0" borderId="16" xfId="0" applyNumberFormat="1" applyBorder="1"/>
    <xf numFmtId="11" fontId="0" fillId="0" borderId="27" xfId="0" applyNumberFormat="1" applyBorder="1"/>
    <xf numFmtId="0" fontId="0" fillId="0" borderId="28" xfId="0" applyBorder="1"/>
    <xf numFmtId="11" fontId="0" fillId="0" borderId="15" xfId="0" applyNumberFormat="1" applyBorder="1"/>
    <xf numFmtId="11" fontId="0" fillId="0" borderId="29" xfId="0" applyNumberFormat="1" applyBorder="1"/>
    <xf numFmtId="11" fontId="0" fillId="0" borderId="17" xfId="0" applyNumberFormat="1" applyBorder="1"/>
    <xf numFmtId="11" fontId="0" fillId="0" borderId="30" xfId="0" applyNumberFormat="1" applyBorder="1"/>
    <xf numFmtId="169" fontId="0" fillId="0" borderId="0" xfId="5" applyNumberFormat="1" applyFont="1" applyFill="1" applyBorder="1" applyAlignment="1">
      <alignment horizontal="right"/>
    </xf>
    <xf numFmtId="0" fontId="7" fillId="0" borderId="0" xfId="0" applyFont="1" applyAlignment="1">
      <alignment vertical="top"/>
    </xf>
    <xf numFmtId="171" fontId="0" fillId="0" borderId="0" xfId="0" applyNumberFormat="1"/>
    <xf numFmtId="171" fontId="0" fillId="0" borderId="9" xfId="4" applyNumberFormat="1" applyFont="1" applyFill="1" applyBorder="1" applyAlignment="1">
      <alignment horizontal="right"/>
    </xf>
    <xf numFmtId="170" fontId="1" fillId="0" borderId="0" xfId="4" applyNumberFormat="1" applyFont="1" applyFill="1" applyBorder="1" applyAlignment="1">
      <alignment horizontal="right"/>
    </xf>
    <xf numFmtId="177" fontId="0" fillId="0" borderId="0" xfId="4" applyNumberFormat="1" applyFont="1" applyFill="1" applyBorder="1"/>
    <xf numFmtId="2" fontId="0" fillId="0" borderId="0" xfId="4" applyNumberFormat="1" applyFont="1" applyFill="1" applyBorder="1"/>
    <xf numFmtId="170" fontId="16" fillId="0" borderId="0" xfId="1" applyNumberFormat="1" applyFont="1" applyFill="1" applyBorder="1" applyAlignment="1">
      <alignment horizontal="right"/>
    </xf>
    <xf numFmtId="170" fontId="16" fillId="0" borderId="0" xfId="4" applyNumberFormat="1" applyFont="1" applyFill="1" applyBorder="1"/>
    <xf numFmtId="168" fontId="0" fillId="0" borderId="0" xfId="1" applyNumberFormat="1" applyFont="1" applyFill="1" applyBorder="1"/>
    <xf numFmtId="170" fontId="0" fillId="0" borderId="0" xfId="0" applyNumberFormat="1"/>
    <xf numFmtId="170" fontId="2" fillId="0" borderId="0" xfId="4" applyNumberFormat="1" applyFont="1" applyFill="1" applyBorder="1" applyAlignment="1">
      <alignment horizontal="right"/>
    </xf>
    <xf numFmtId="0" fontId="2" fillId="0" borderId="0" xfId="0" applyFont="1" applyAlignment="1">
      <alignment horizontal="left"/>
    </xf>
    <xf numFmtId="171" fontId="2" fillId="0" borderId="9" xfId="4" applyNumberFormat="1" applyFont="1" applyFill="1" applyBorder="1" applyAlignment="1">
      <alignment horizontal="right"/>
    </xf>
    <xf numFmtId="0" fontId="3" fillId="0" borderId="2" xfId="0" applyFont="1" applyBorder="1"/>
    <xf numFmtId="44" fontId="1" fillId="0" borderId="4" xfId="4" applyFont="1" applyFill="1" applyBorder="1" applyAlignment="1">
      <alignment horizontal="right"/>
    </xf>
    <xf numFmtId="2" fontId="0" fillId="0" borderId="5" xfId="0" applyNumberFormat="1" applyBorder="1" applyAlignment="1">
      <alignment horizontal="right"/>
    </xf>
    <xf numFmtId="177" fontId="0" fillId="0" borderId="8" xfId="4" applyNumberFormat="1" applyFont="1" applyFill="1" applyBorder="1" applyAlignment="1">
      <alignment horizontal="right"/>
    </xf>
    <xf numFmtId="169" fontId="0" fillId="0" borderId="0" xfId="0" applyNumberFormat="1"/>
    <xf numFmtId="187" fontId="2" fillId="0" borderId="0" xfId="0" applyNumberFormat="1" applyFont="1"/>
    <xf numFmtId="187" fontId="0" fillId="0" borderId="0" xfId="0" applyNumberFormat="1" applyAlignment="1">
      <alignment horizontal="right"/>
    </xf>
    <xf numFmtId="187" fontId="2" fillId="0" borderId="0" xfId="0" applyNumberFormat="1" applyFont="1" applyAlignment="1">
      <alignment horizontal="center" wrapText="1"/>
    </xf>
    <xf numFmtId="187" fontId="0" fillId="0" borderId="0" xfId="0" applyNumberFormat="1"/>
    <xf numFmtId="187" fontId="2" fillId="0" borderId="0" xfId="0" applyNumberFormat="1" applyFont="1" applyAlignment="1">
      <alignment horizontal="right"/>
    </xf>
    <xf numFmtId="174" fontId="0" fillId="0" borderId="0" xfId="0" applyNumberFormat="1" applyAlignment="1">
      <alignment horizontal="left"/>
    </xf>
    <xf numFmtId="0" fontId="21" fillId="0" borderId="0" xfId="0" applyFont="1"/>
    <xf numFmtId="0" fontId="2" fillId="0" borderId="0" xfId="0" applyFont="1" applyAlignment="1">
      <alignment horizontal="right"/>
    </xf>
    <xf numFmtId="1" fontId="2" fillId="0" borderId="0" xfId="0" applyNumberFormat="1" applyFont="1"/>
    <xf numFmtId="0" fontId="0" fillId="0" borderId="0" xfId="0" applyAlignment="1">
      <alignment horizontal="left" indent="2"/>
    </xf>
    <xf numFmtId="0" fontId="23" fillId="0" borderId="0" xfId="0" applyFont="1"/>
    <xf numFmtId="2" fontId="2" fillId="0" borderId="0" xfId="0" applyNumberFormat="1" applyFont="1"/>
    <xf numFmtId="6" fontId="24" fillId="0" borderId="0" xfId="0" applyNumberFormat="1" applyFont="1"/>
    <xf numFmtId="170" fontId="16" fillId="0" borderId="0" xfId="4" applyNumberFormat="1" applyFont="1"/>
    <xf numFmtId="170" fontId="0" fillId="0" borderId="0" xfId="4" applyNumberFormat="1" applyFont="1"/>
    <xf numFmtId="171" fontId="0" fillId="0" borderId="0" xfId="4" applyNumberFormat="1" applyFont="1"/>
    <xf numFmtId="0" fontId="2" fillId="0" borderId="0" xfId="0" applyFont="1" applyAlignment="1">
      <alignment wrapText="1"/>
    </xf>
    <xf numFmtId="39" fontId="0" fillId="0" borderId="0" xfId="0" applyNumberFormat="1"/>
    <xf numFmtId="188" fontId="0" fillId="0" borderId="0" xfId="0" applyNumberFormat="1"/>
    <xf numFmtId="0" fontId="2" fillId="0" borderId="0" xfId="0" applyFont="1" applyAlignment="1">
      <alignment horizontal="left" vertical="top" wrapText="1"/>
    </xf>
    <xf numFmtId="43" fontId="9" fillId="0" borderId="0" xfId="0" applyNumberFormat="1" applyFont="1" applyAlignment="1">
      <alignment vertical="center"/>
    </xf>
    <xf numFmtId="0" fontId="9" fillId="0" borderId="0" xfId="0" applyFont="1" applyAlignment="1">
      <alignment vertical="center"/>
    </xf>
    <xf numFmtId="189" fontId="9" fillId="0" borderId="0" xfId="0" applyNumberFormat="1" applyFont="1" applyAlignment="1">
      <alignment horizontal="right" vertical="center"/>
    </xf>
    <xf numFmtId="0" fontId="8" fillId="0" borderId="0" xfId="0" applyFont="1" applyAlignment="1">
      <alignment horizontal="right" vertical="center"/>
    </xf>
    <xf numFmtId="171" fontId="0" fillId="0" borderId="0" xfId="1" applyNumberFormat="1" applyFont="1"/>
    <xf numFmtId="0" fontId="2" fillId="0" borderId="0" xfId="0" applyFont="1" applyAlignment="1">
      <alignment horizontal="left" wrapText="1"/>
    </xf>
    <xf numFmtId="165" fontId="0" fillId="0" borderId="0" xfId="3" applyNumberFormat="1" applyFont="1"/>
    <xf numFmtId="0" fontId="2" fillId="0" borderId="0" xfId="0" applyFont="1" applyAlignment="1">
      <alignment horizontal="left" vertical="center" wrapText="1"/>
    </xf>
    <xf numFmtId="0" fontId="0" fillId="0" borderId="0" xfId="0" applyAlignment="1">
      <alignment horizontal="right" wrapText="1"/>
    </xf>
    <xf numFmtId="0" fontId="0" fillId="0" borderId="35" xfId="0" applyBorder="1"/>
    <xf numFmtId="0" fontId="25" fillId="0" borderId="35" xfId="0" applyFont="1" applyBorder="1" applyAlignment="1">
      <alignment horizontal="center"/>
    </xf>
    <xf numFmtId="0" fontId="28" fillId="0" borderId="35" xfId="0" applyFont="1" applyBorder="1" applyAlignment="1">
      <alignment horizontal="right" vertical="center"/>
    </xf>
    <xf numFmtId="3" fontId="28" fillId="0" borderId="35" xfId="0" applyNumberFormat="1" applyFont="1" applyBorder="1" applyAlignment="1">
      <alignment horizontal="center" vertical="center"/>
    </xf>
    <xf numFmtId="0" fontId="27" fillId="0" borderId="35" xfId="0" applyFont="1" applyBorder="1" applyAlignment="1">
      <alignment horizontal="right" vertical="center"/>
    </xf>
    <xf numFmtId="0" fontId="2" fillId="0" borderId="35" xfId="0" applyFont="1" applyBorder="1" applyAlignment="1">
      <alignment horizontal="center"/>
    </xf>
    <xf numFmtId="0" fontId="26" fillId="0" borderId="35" xfId="0" applyFont="1" applyBorder="1" applyAlignment="1">
      <alignment wrapText="1"/>
    </xf>
    <xf numFmtId="0" fontId="27" fillId="0" borderId="35" xfId="0" applyFont="1" applyBorder="1" applyAlignment="1">
      <alignment horizontal="center" vertical="center" wrapText="1"/>
    </xf>
    <xf numFmtId="1" fontId="0" fillId="0" borderId="0" xfId="0" applyNumberFormat="1" applyAlignment="1">
      <alignment wrapText="1"/>
    </xf>
    <xf numFmtId="173" fontId="0" fillId="0" borderId="0" xfId="0" applyNumberFormat="1"/>
    <xf numFmtId="2" fontId="9" fillId="0" borderId="0" xfId="0" applyNumberFormat="1" applyFont="1" applyAlignment="1">
      <alignment horizontal="right" vertical="center"/>
    </xf>
    <xf numFmtId="7" fontId="9" fillId="0" borderId="0" xfId="0" applyNumberFormat="1" applyFont="1" applyAlignment="1">
      <alignment horizontal="right" vertical="center"/>
    </xf>
    <xf numFmtId="0" fontId="15" fillId="0" borderId="0" xfId="7" applyFont="1" applyFill="1" applyBorder="1" applyAlignment="1">
      <alignment horizontal="left" vertical="top"/>
    </xf>
    <xf numFmtId="0" fontId="0" fillId="0" borderId="36" xfId="0" applyBorder="1" applyAlignment="1">
      <alignment horizontal="center"/>
    </xf>
    <xf numFmtId="1" fontId="0" fillId="0" borderId="36" xfId="0" applyNumberFormat="1" applyBorder="1"/>
    <xf numFmtId="7" fontId="0" fillId="0" borderId="0" xfId="0" applyNumberFormat="1" applyFill="1"/>
    <xf numFmtId="1" fontId="0" fillId="0" borderId="0" xfId="0" applyNumberFormat="1" applyFill="1"/>
    <xf numFmtId="0" fontId="0" fillId="0" borderId="0" xfId="0" applyFill="1"/>
    <xf numFmtId="0" fontId="2" fillId="0" borderId="41" xfId="0" applyFont="1" applyBorder="1"/>
    <xf numFmtId="0" fontId="0" fillId="0" borderId="0" xfId="0" applyBorder="1" applyAlignment="1">
      <alignment horizontal="center"/>
    </xf>
    <xf numFmtId="0" fontId="0" fillId="0" borderId="42" xfId="0" applyBorder="1" applyAlignment="1">
      <alignment horizontal="center"/>
    </xf>
    <xf numFmtId="0" fontId="0" fillId="0" borderId="41" xfId="0" applyBorder="1" applyAlignment="1">
      <alignment horizontal="right"/>
    </xf>
    <xf numFmtId="1" fontId="0" fillId="0" borderId="0" xfId="0" applyNumberFormat="1" applyFill="1" applyBorder="1"/>
    <xf numFmtId="1" fontId="0" fillId="0" borderId="0" xfId="0" applyNumberFormat="1" applyBorder="1"/>
    <xf numFmtId="167" fontId="0" fillId="0" borderId="0" xfId="0" applyNumberFormat="1" applyBorder="1"/>
    <xf numFmtId="0" fontId="0" fillId="0" borderId="43" xfId="0" applyBorder="1" applyAlignment="1">
      <alignment horizontal="right"/>
    </xf>
    <xf numFmtId="1" fontId="0" fillId="0" borderId="44" xfId="0" applyNumberFormat="1" applyFill="1" applyBorder="1"/>
    <xf numFmtId="1" fontId="0" fillId="0" borderId="44" xfId="0" applyNumberFormat="1" applyBorder="1"/>
    <xf numFmtId="167" fontId="0" fillId="0" borderId="44" xfId="0" applyNumberFormat="1" applyBorder="1"/>
    <xf numFmtId="1" fontId="0" fillId="0" borderId="45" xfId="0" applyNumberFormat="1" applyBorder="1"/>
    <xf numFmtId="0" fontId="2" fillId="0" borderId="47" xfId="0" applyFont="1" applyBorder="1"/>
    <xf numFmtId="0" fontId="0" fillId="0" borderId="48" xfId="0" applyBorder="1" applyAlignment="1">
      <alignment horizontal="center"/>
    </xf>
    <xf numFmtId="0" fontId="0" fillId="0" borderId="0" xfId="0" applyAlignment="1"/>
    <xf numFmtId="9" fontId="9" fillId="0" borderId="0" xfId="5" applyFont="1" applyFill="1" applyBorder="1" applyAlignment="1">
      <alignment horizontal="right" vertical="center"/>
    </xf>
    <xf numFmtId="0" fontId="30" fillId="0" borderId="0" xfId="0" applyFont="1"/>
    <xf numFmtId="0" fontId="32" fillId="13" borderId="25" xfId="0" applyFont="1" applyFill="1" applyBorder="1" applyAlignment="1">
      <alignment horizontal="center" vertical="center"/>
    </xf>
    <xf numFmtId="0" fontId="31" fillId="12" borderId="53"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5" xfId="0" applyFont="1" applyFill="1" applyBorder="1" applyAlignment="1">
      <alignment horizontal="center" vertical="center"/>
    </xf>
    <xf numFmtId="0" fontId="31" fillId="13" borderId="5" xfId="0" applyFont="1" applyFill="1" applyBorder="1" applyAlignment="1">
      <alignment horizontal="center" vertical="center"/>
    </xf>
    <xf numFmtId="0" fontId="28" fillId="0" borderId="6"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2" xfId="0" applyFont="1" applyBorder="1" applyAlignment="1">
      <alignment horizontal="center" vertical="center"/>
    </xf>
    <xf numFmtId="0" fontId="35" fillId="0" borderId="24" xfId="0" applyFont="1" applyBorder="1" applyAlignment="1">
      <alignment horizontal="center" vertical="center"/>
    </xf>
    <xf numFmtId="171" fontId="28" fillId="0" borderId="35" xfId="0" applyNumberFormat="1" applyFont="1" applyBorder="1" applyAlignment="1">
      <alignment horizontal="center" vertical="center"/>
    </xf>
    <xf numFmtId="171" fontId="28" fillId="14" borderId="35" xfId="0" applyNumberFormat="1" applyFont="1" applyFill="1" applyBorder="1" applyAlignment="1">
      <alignment horizontal="center" vertical="center"/>
    </xf>
    <xf numFmtId="171" fontId="34" fillId="0" borderId="35" xfId="0" applyNumberFormat="1" applyFont="1" applyBorder="1" applyAlignment="1">
      <alignment horizontal="center" vertical="center"/>
    </xf>
    <xf numFmtId="171" fontId="28" fillId="0" borderId="35" xfId="1" applyNumberFormat="1" applyFont="1" applyBorder="1" applyAlignment="1">
      <alignment horizontal="center" vertical="center"/>
    </xf>
    <xf numFmtId="171" fontId="0" fillId="0" borderId="35" xfId="0" applyNumberFormat="1" applyBorder="1" applyAlignment="1">
      <alignment horizontal="center"/>
    </xf>
    <xf numFmtId="171" fontId="28" fillId="0" borderId="35" xfId="0" applyNumberFormat="1" applyFont="1" applyBorder="1" applyAlignment="1">
      <alignment horizontal="center"/>
    </xf>
    <xf numFmtId="171" fontId="28" fillId="0" borderId="35" xfId="1" applyNumberFormat="1" applyFont="1" applyBorder="1" applyAlignment="1">
      <alignment horizontal="center"/>
    </xf>
    <xf numFmtId="171" fontId="35" fillId="0" borderId="35" xfId="0" applyNumberFormat="1" applyFont="1" applyBorder="1" applyAlignment="1">
      <alignment vertical="center"/>
    </xf>
    <xf numFmtId="171" fontId="35" fillId="14" borderId="35" xfId="0" applyNumberFormat="1" applyFont="1" applyFill="1" applyBorder="1" applyAlignment="1">
      <alignment vertical="center"/>
    </xf>
    <xf numFmtId="5" fontId="0" fillId="0" borderId="0" xfId="0" applyNumberFormat="1" applyFill="1"/>
    <xf numFmtId="0" fontId="0" fillId="10" borderId="0" xfId="0" applyFill="1" applyBorder="1" applyAlignment="1">
      <alignment horizontal="right"/>
    </xf>
    <xf numFmtId="0" fontId="28" fillId="0" borderId="0" xfId="0" applyFont="1"/>
    <xf numFmtId="0" fontId="0" fillId="10" borderId="18" xfId="0" applyFont="1" applyFill="1" applyBorder="1" applyAlignment="1">
      <alignment horizontal="left"/>
    </xf>
    <xf numFmtId="167" fontId="0" fillId="0" borderId="42" xfId="0" applyNumberFormat="1" applyFill="1" applyBorder="1"/>
    <xf numFmtId="167" fontId="0" fillId="0" borderId="46" xfId="0" applyNumberFormat="1" applyFill="1" applyBorder="1"/>
    <xf numFmtId="168" fontId="2" fillId="0" borderId="0" xfId="1" applyNumberFormat="1" applyFont="1"/>
    <xf numFmtId="0" fontId="0" fillId="0" borderId="0" xfId="0" applyBorder="1"/>
    <xf numFmtId="0" fontId="2" fillId="10" borderId="35" xfId="0" applyFont="1" applyFill="1" applyBorder="1" applyAlignment="1">
      <alignment vertical="center" wrapText="1"/>
    </xf>
    <xf numFmtId="0" fontId="0" fillId="10" borderId="0" xfId="0" applyFill="1"/>
    <xf numFmtId="0" fontId="0" fillId="10" borderId="35" xfId="0" applyFill="1" applyBorder="1" applyAlignment="1">
      <alignment vertical="center" wrapText="1"/>
    </xf>
    <xf numFmtId="187" fontId="0" fillId="10" borderId="35" xfId="0" applyNumberFormat="1" applyFill="1" applyBorder="1"/>
    <xf numFmtId="0" fontId="0" fillId="0" borderId="0" xfId="0" applyFont="1"/>
    <xf numFmtId="2" fontId="0" fillId="0" borderId="0" xfId="0" applyNumberFormat="1" applyAlignment="1">
      <alignment horizontal="left"/>
    </xf>
    <xf numFmtId="0" fontId="36" fillId="15" borderId="62" xfId="0" applyFont="1" applyFill="1" applyBorder="1" applyAlignment="1">
      <alignment horizontal="center" vertical="center" wrapText="1"/>
    </xf>
    <xf numFmtId="0" fontId="37" fillId="15" borderId="59" xfId="0" applyFont="1" applyFill="1" applyBorder="1" applyAlignment="1">
      <alignment vertical="center" wrapText="1"/>
    </xf>
    <xf numFmtId="0" fontId="36" fillId="15" borderId="63" xfId="0" applyFont="1" applyFill="1" applyBorder="1" applyAlignment="1">
      <alignment horizontal="center" vertical="center" wrapText="1"/>
    </xf>
    <xf numFmtId="0" fontId="38" fillId="0" borderId="59" xfId="0" applyFont="1" applyBorder="1" applyAlignment="1">
      <alignment vertical="center"/>
    </xf>
    <xf numFmtId="6" fontId="38" fillId="0" borderId="62" xfId="0" applyNumberFormat="1" applyFont="1" applyBorder="1" applyAlignment="1">
      <alignment horizontal="right" vertical="center"/>
    </xf>
    <xf numFmtId="6" fontId="38" fillId="0" borderId="63" xfId="0" applyNumberFormat="1" applyFont="1" applyBorder="1" applyAlignment="1">
      <alignment horizontal="right" vertical="center"/>
    </xf>
    <xf numFmtId="6" fontId="38" fillId="0" borderId="63" xfId="0" applyNumberFormat="1" applyFont="1" applyBorder="1" applyAlignment="1">
      <alignment horizontal="right" vertical="center" wrapText="1"/>
    </xf>
    <xf numFmtId="6" fontId="38" fillId="8" borderId="63" xfId="0" applyNumberFormat="1" applyFont="1" applyFill="1" applyBorder="1" applyAlignment="1">
      <alignment horizontal="right" vertical="center"/>
    </xf>
    <xf numFmtId="0" fontId="36" fillId="15" borderId="59" xfId="0" applyFont="1" applyFill="1" applyBorder="1" applyAlignment="1">
      <alignment horizontal="right" vertical="center"/>
    </xf>
    <xf numFmtId="6" fontId="36" fillId="15" borderId="63" xfId="0" applyNumberFormat="1" applyFont="1" applyFill="1" applyBorder="1" applyAlignment="1">
      <alignment horizontal="right" vertical="center"/>
    </xf>
    <xf numFmtId="0" fontId="0" fillId="0" borderId="0" xfId="0" applyAlignment="1">
      <alignment vertical="center"/>
    </xf>
    <xf numFmtId="0" fontId="36" fillId="15" borderId="66" xfId="0" applyFont="1" applyFill="1" applyBorder="1" applyAlignment="1">
      <alignment horizontal="center" vertical="center"/>
    </xf>
    <xf numFmtId="0" fontId="36" fillId="15" borderId="60" xfId="0" applyFont="1" applyFill="1" applyBorder="1" applyAlignment="1">
      <alignment horizontal="center" vertical="center" wrapText="1"/>
    </xf>
    <xf numFmtId="0" fontId="37" fillId="15" borderId="59" xfId="0" applyFont="1" applyFill="1" applyBorder="1" applyAlignment="1">
      <alignment vertical="center"/>
    </xf>
    <xf numFmtId="6" fontId="37" fillId="15" borderId="63" xfId="0" applyNumberFormat="1" applyFont="1" applyFill="1" applyBorder="1" applyAlignment="1">
      <alignment horizontal="right" vertical="center"/>
    </xf>
    <xf numFmtId="0" fontId="38" fillId="0" borderId="59" xfId="0" applyFont="1" applyBorder="1" applyAlignment="1">
      <alignment vertical="center" wrapText="1"/>
    </xf>
    <xf numFmtId="0" fontId="38" fillId="0" borderId="58" xfId="0" applyFont="1" applyBorder="1" applyAlignment="1">
      <alignment vertical="center" wrapText="1"/>
    </xf>
    <xf numFmtId="0" fontId="0" fillId="0" borderId="0" xfId="0" applyFont="1" applyAlignment="1">
      <alignment horizontal="left"/>
    </xf>
    <xf numFmtId="0" fontId="2" fillId="10" borderId="35" xfId="0" applyFont="1" applyFill="1" applyBorder="1" applyAlignment="1">
      <alignment horizontal="center" vertical="center"/>
    </xf>
    <xf numFmtId="2" fontId="0" fillId="0" borderId="0" xfId="0" applyNumberFormat="1" applyBorder="1" applyAlignment="1">
      <alignment horizontal="right"/>
    </xf>
    <xf numFmtId="177" fontId="0" fillId="0" borderId="0" xfId="4" applyNumberFormat="1" applyFont="1" applyFill="1" applyBorder="1" applyAlignment="1">
      <alignment horizontal="right"/>
    </xf>
    <xf numFmtId="0" fontId="0" fillId="10" borderId="0" xfId="0" applyFill="1" applyAlignment="1">
      <alignment vertical="top" wrapText="1"/>
    </xf>
    <xf numFmtId="0" fontId="0" fillId="10" borderId="0" xfId="0" applyFill="1" applyAlignment="1">
      <alignment vertical="top"/>
    </xf>
    <xf numFmtId="3" fontId="0" fillId="0" borderId="0" xfId="0" applyNumberFormat="1"/>
    <xf numFmtId="191" fontId="0" fillId="0" borderId="0" xfId="0" applyNumberFormat="1"/>
    <xf numFmtId="168" fontId="0" fillId="0" borderId="0" xfId="1" applyNumberFormat="1" applyFont="1" applyAlignment="1">
      <alignment horizontal="right"/>
    </xf>
    <xf numFmtId="0" fontId="13" fillId="0" borderId="54" xfId="6" applyBorder="1"/>
    <xf numFmtId="0" fontId="40" fillId="0" borderId="67" xfId="6" applyFont="1" applyBorder="1" applyAlignment="1">
      <alignment horizontal="center" wrapText="1"/>
    </xf>
    <xf numFmtId="0" fontId="40" fillId="0" borderId="68" xfId="6" applyFont="1" applyBorder="1" applyAlignment="1">
      <alignment horizontal="center" wrapText="1"/>
    </xf>
    <xf numFmtId="0" fontId="40" fillId="0" borderId="69" xfId="6" applyFont="1" applyBorder="1" applyAlignment="1">
      <alignment horizontal="center" wrapText="1"/>
    </xf>
    <xf numFmtId="0" fontId="40" fillId="0" borderId="55" xfId="6" applyFont="1" applyBorder="1" applyAlignment="1">
      <alignment horizontal="center" vertical="center"/>
    </xf>
    <xf numFmtId="0" fontId="40" fillId="0" borderId="55" xfId="6" applyFont="1" applyBorder="1" applyAlignment="1">
      <alignment horizontal="center"/>
    </xf>
    <xf numFmtId="1" fontId="40" fillId="0" borderId="70" xfId="6" applyNumberFormat="1" applyFont="1" applyBorder="1" applyAlignment="1">
      <alignment horizontal="center"/>
    </xf>
    <xf numFmtId="1" fontId="40" fillId="0" borderId="71" xfId="6" applyNumberFormat="1" applyFont="1" applyBorder="1" applyAlignment="1">
      <alignment horizontal="center"/>
    </xf>
    <xf numFmtId="1" fontId="40" fillId="0" borderId="72" xfId="6" applyNumberFormat="1" applyFont="1" applyBorder="1" applyAlignment="1">
      <alignment horizontal="center"/>
    </xf>
    <xf numFmtId="1" fontId="40" fillId="0" borderId="73" xfId="6" applyNumberFormat="1" applyFont="1" applyBorder="1" applyAlignment="1">
      <alignment horizontal="center"/>
    </xf>
    <xf numFmtId="1" fontId="40" fillId="0" borderId="35" xfId="6" applyNumberFormat="1" applyFont="1" applyBorder="1" applyAlignment="1">
      <alignment horizontal="center"/>
    </xf>
    <xf numFmtId="1" fontId="40" fillId="0" borderId="74" xfId="6" applyNumberFormat="1" applyFont="1" applyBorder="1" applyAlignment="1">
      <alignment horizontal="center"/>
    </xf>
    <xf numFmtId="0" fontId="40" fillId="0" borderId="56" xfId="6" applyFont="1" applyBorder="1" applyAlignment="1">
      <alignment horizontal="center"/>
    </xf>
    <xf numFmtId="1" fontId="40" fillId="0" borderId="75" xfId="6" applyNumberFormat="1" applyFont="1" applyBorder="1" applyAlignment="1">
      <alignment horizontal="center"/>
    </xf>
    <xf numFmtId="1" fontId="40" fillId="0" borderId="76" xfId="6" applyNumberFormat="1" applyFont="1" applyBorder="1" applyAlignment="1">
      <alignment horizontal="center"/>
    </xf>
    <xf numFmtId="1" fontId="40" fillId="0" borderId="77" xfId="6" applyNumberFormat="1" applyFont="1" applyBorder="1" applyAlignment="1">
      <alignment horizontal="center"/>
    </xf>
    <xf numFmtId="0" fontId="13" fillId="0" borderId="0" xfId="6"/>
    <xf numFmtId="0" fontId="42" fillId="0" borderId="0" xfId="6" applyFont="1" applyAlignment="1">
      <alignment horizontal="left" wrapText="1"/>
    </xf>
    <xf numFmtId="0" fontId="2" fillId="0" borderId="78" xfId="0" applyFont="1" applyFill="1" applyBorder="1"/>
    <xf numFmtId="0" fontId="0" fillId="16" borderId="3" xfId="0" applyFill="1" applyBorder="1"/>
    <xf numFmtId="0" fontId="2" fillId="16" borderId="2" xfId="0" applyFont="1" applyFill="1" applyBorder="1"/>
    <xf numFmtId="0" fontId="0" fillId="16" borderId="4" xfId="0" applyFill="1" applyBorder="1"/>
    <xf numFmtId="0" fontId="0" fillId="16" borderId="1" xfId="0" applyFill="1" applyBorder="1"/>
    <xf numFmtId="0" fontId="0" fillId="16" borderId="0" xfId="0" applyFill="1" applyBorder="1"/>
    <xf numFmtId="0" fontId="0" fillId="16" borderId="5" xfId="0" applyFill="1" applyBorder="1"/>
    <xf numFmtId="0" fontId="0" fillId="16" borderId="6" xfId="0" applyFill="1" applyBorder="1"/>
    <xf numFmtId="0" fontId="0" fillId="16" borderId="7" xfId="0" applyFill="1" applyBorder="1"/>
    <xf numFmtId="0" fontId="0" fillId="16" borderId="1" xfId="0" applyFill="1" applyBorder="1" applyAlignment="1">
      <alignment horizontal="center"/>
    </xf>
    <xf numFmtId="1" fontId="0" fillId="16" borderId="1" xfId="0" applyNumberFormat="1" applyFill="1" applyBorder="1" applyAlignment="1">
      <alignment horizontal="center"/>
    </xf>
    <xf numFmtId="0" fontId="0" fillId="16" borderId="0" xfId="0" applyFill="1" applyBorder="1" applyAlignment="1">
      <alignment horizontal="center"/>
    </xf>
    <xf numFmtId="1" fontId="0" fillId="16" borderId="0" xfId="0" applyNumberFormat="1" applyFill="1" applyBorder="1" applyAlignment="1">
      <alignment horizontal="center"/>
    </xf>
    <xf numFmtId="0" fontId="39" fillId="16" borderId="1" xfId="0" applyFont="1" applyFill="1" applyBorder="1" applyAlignment="1">
      <alignment horizontal="center"/>
    </xf>
    <xf numFmtId="0" fontId="39" fillId="16" borderId="0" xfId="0" applyFont="1" applyFill="1" applyBorder="1" applyAlignment="1">
      <alignment horizontal="center"/>
    </xf>
    <xf numFmtId="0" fontId="0" fillId="16" borderId="5" xfId="0" applyFill="1" applyBorder="1" applyAlignment="1">
      <alignment horizontal="center"/>
    </xf>
    <xf numFmtId="1" fontId="0" fillId="16" borderId="5" xfId="0" applyNumberFormat="1" applyFill="1" applyBorder="1" applyAlignment="1">
      <alignment horizontal="center"/>
    </xf>
    <xf numFmtId="0" fontId="39" fillId="16" borderId="5" xfId="0" applyFont="1" applyFill="1" applyBorder="1" applyAlignment="1">
      <alignment horizontal="center"/>
    </xf>
    <xf numFmtId="0" fontId="0" fillId="16" borderId="8" xfId="0" applyFill="1" applyBorder="1"/>
    <xf numFmtId="0" fontId="39" fillId="16" borderId="36" xfId="0" applyFont="1" applyFill="1" applyBorder="1" applyAlignment="1">
      <alignment horizontal="center"/>
    </xf>
    <xf numFmtId="0" fontId="39" fillId="16" borderId="33" xfId="0" applyFont="1" applyFill="1" applyBorder="1" applyAlignment="1">
      <alignment horizontal="center"/>
    </xf>
    <xf numFmtId="1" fontId="0" fillId="16" borderId="36" xfId="0" applyNumberFormat="1" applyFill="1" applyBorder="1" applyAlignment="1">
      <alignment horizontal="center"/>
    </xf>
    <xf numFmtId="1" fontId="0" fillId="16" borderId="33" xfId="0" applyNumberFormat="1" applyFill="1" applyBorder="1" applyAlignment="1">
      <alignment horizontal="center"/>
    </xf>
    <xf numFmtId="1" fontId="0" fillId="16" borderId="82" xfId="0" applyNumberFormat="1" applyFill="1" applyBorder="1" applyAlignment="1">
      <alignment horizontal="center"/>
    </xf>
    <xf numFmtId="1" fontId="0" fillId="16" borderId="31" xfId="0" applyNumberFormat="1" applyFill="1" applyBorder="1" applyAlignment="1">
      <alignment horizontal="center"/>
    </xf>
    <xf numFmtId="1" fontId="0" fillId="16" borderId="34" xfId="0" applyNumberFormat="1" applyFill="1" applyBorder="1" applyAlignment="1">
      <alignment horizontal="center"/>
    </xf>
    <xf numFmtId="0" fontId="0" fillId="16" borderId="36" xfId="0" applyFill="1" applyBorder="1" applyAlignment="1">
      <alignment horizontal="center"/>
    </xf>
    <xf numFmtId="0" fontId="0" fillId="16" borderId="33" xfId="0" applyFill="1" applyBorder="1" applyAlignment="1">
      <alignment horizontal="center"/>
    </xf>
    <xf numFmtId="1" fontId="0" fillId="16" borderId="83" xfId="0" applyNumberFormat="1" applyFill="1" applyBorder="1" applyAlignment="1">
      <alignment horizontal="center"/>
    </xf>
    <xf numFmtId="1" fontId="0" fillId="16" borderId="84" xfId="0" applyNumberFormat="1" applyFill="1" applyBorder="1" applyAlignment="1">
      <alignment horizontal="center"/>
    </xf>
    <xf numFmtId="168" fontId="2" fillId="16" borderId="7" xfId="1" applyNumberFormat="1" applyFont="1" applyFill="1" applyBorder="1"/>
    <xf numFmtId="168" fontId="2" fillId="16" borderId="8" xfId="1" applyNumberFormat="1" applyFont="1" applyFill="1" applyBorder="1"/>
    <xf numFmtId="0" fontId="0" fillId="16" borderId="31" xfId="0" applyFill="1" applyBorder="1"/>
    <xf numFmtId="0" fontId="0" fillId="16" borderId="83" xfId="0" applyFill="1" applyBorder="1"/>
    <xf numFmtId="5" fontId="9" fillId="0" borderId="0" xfId="0" applyNumberFormat="1" applyFont="1" applyAlignment="1">
      <alignment horizontal="right" vertical="center"/>
    </xf>
    <xf numFmtId="3" fontId="0" fillId="0" borderId="0" xfId="0" applyNumberFormat="1" applyFill="1"/>
    <xf numFmtId="0" fontId="27" fillId="0" borderId="2" xfId="0" applyFont="1" applyBorder="1" applyAlignment="1">
      <alignment vertical="center" wrapText="1"/>
    </xf>
    <xf numFmtId="0" fontId="28" fillId="0" borderId="3" xfId="0" applyFont="1" applyBorder="1" applyAlignment="1">
      <alignment vertical="center" wrapText="1"/>
    </xf>
    <xf numFmtId="0" fontId="28" fillId="0" borderId="1" xfId="0" applyFont="1" applyBorder="1" applyAlignment="1">
      <alignment horizontal="center" vertical="center" wrapText="1"/>
    </xf>
    <xf numFmtId="166" fontId="28" fillId="0" borderId="0" xfId="0" applyNumberFormat="1" applyFont="1" applyBorder="1" applyAlignment="1">
      <alignment wrapText="1"/>
    </xf>
    <xf numFmtId="0" fontId="28" fillId="0" borderId="6" xfId="0" applyFont="1" applyBorder="1" applyAlignment="1">
      <alignment horizontal="center" vertical="center" wrapText="1"/>
    </xf>
    <xf numFmtId="166" fontId="28" fillId="0" borderId="7" xfId="0" applyNumberFormat="1" applyFont="1" applyBorder="1" applyAlignment="1">
      <alignment wrapText="1"/>
    </xf>
    <xf numFmtId="0" fontId="28" fillId="16" borderId="3" xfId="0" applyFont="1" applyFill="1" applyBorder="1" applyAlignment="1">
      <alignment vertical="center" wrapText="1"/>
    </xf>
    <xf numFmtId="192" fontId="28" fillId="16" borderId="0" xfId="0" applyNumberFormat="1" applyFont="1" applyFill="1" applyBorder="1" applyAlignment="1">
      <alignment wrapText="1"/>
    </xf>
    <xf numFmtId="192" fontId="28" fillId="16" borderId="7" xfId="0" applyNumberFormat="1" applyFont="1" applyFill="1" applyBorder="1" applyAlignment="1">
      <alignment wrapText="1"/>
    </xf>
    <xf numFmtId="0" fontId="28" fillId="16" borderId="4" xfId="0" applyFont="1" applyFill="1" applyBorder="1" applyAlignment="1">
      <alignment vertical="center" wrapText="1"/>
    </xf>
    <xf numFmtId="174" fontId="28" fillId="16" borderId="5" xfId="0" applyNumberFormat="1" applyFont="1" applyFill="1" applyBorder="1" applyAlignment="1">
      <alignment wrapText="1"/>
    </xf>
    <xf numFmtId="174" fontId="28" fillId="16" borderId="8" xfId="0" applyNumberFormat="1" applyFont="1" applyFill="1" applyBorder="1" applyAlignment="1">
      <alignment wrapText="1"/>
    </xf>
    <xf numFmtId="0" fontId="7" fillId="0" borderId="0" xfId="0" applyFont="1" applyBorder="1"/>
    <xf numFmtId="0" fontId="2" fillId="0" borderId="0" xfId="0" applyFont="1" applyBorder="1" applyAlignment="1">
      <alignment horizontal="left"/>
    </xf>
    <xf numFmtId="177" fontId="0" fillId="0" borderId="0" xfId="4" applyNumberFormat="1" applyFont="1" applyBorder="1"/>
    <xf numFmtId="0" fontId="0" fillId="0" borderId="0" xfId="0" applyBorder="1" applyAlignment="1">
      <alignment horizontal="left" indent="2"/>
    </xf>
    <xf numFmtId="2" fontId="0" fillId="0" borderId="0" xfId="4" applyNumberFormat="1" applyFont="1" applyBorder="1"/>
    <xf numFmtId="0" fontId="0" fillId="0" borderId="0" xfId="0" applyFont="1" applyBorder="1" applyAlignment="1">
      <alignment horizontal="right" indent="1"/>
    </xf>
    <xf numFmtId="0" fontId="0" fillId="0" borderId="0" xfId="0" applyFont="1" applyBorder="1"/>
    <xf numFmtId="0" fontId="0" fillId="0" borderId="0" xfId="0" applyFont="1" applyBorder="1" applyAlignment="1">
      <alignment horizontal="right"/>
    </xf>
    <xf numFmtId="1" fontId="0" fillId="0" borderId="0" xfId="4" applyNumberFormat="1" applyFont="1" applyBorder="1"/>
    <xf numFmtId="173" fontId="0" fillId="0" borderId="0" xfId="4" applyNumberFormat="1" applyFont="1" applyBorder="1"/>
    <xf numFmtId="190" fontId="0" fillId="0" borderId="0" xfId="4" applyNumberFormat="1" applyFont="1" applyBorder="1"/>
    <xf numFmtId="0" fontId="0" fillId="0" borderId="0" xfId="0" applyFont="1" applyBorder="1" applyAlignment="1"/>
    <xf numFmtId="171" fontId="1" fillId="0" borderId="0" xfId="4" applyNumberFormat="1" applyFont="1" applyFill="1" applyBorder="1" applyAlignment="1">
      <alignment horizontal="right"/>
    </xf>
    <xf numFmtId="0" fontId="20" fillId="0" borderId="0" xfId="0" applyFont="1" applyAlignment="1"/>
    <xf numFmtId="0" fontId="36" fillId="15" borderId="57" xfId="0" applyFont="1" applyFill="1" applyBorder="1" applyAlignment="1">
      <alignment horizontal="center" vertical="center" wrapText="1"/>
    </xf>
    <xf numFmtId="0" fontId="36" fillId="15" borderId="59" xfId="0" applyFont="1" applyFill="1" applyBorder="1" applyAlignment="1">
      <alignment horizontal="center" vertical="center" wrapText="1"/>
    </xf>
    <xf numFmtId="0" fontId="36" fillId="15" borderId="65" xfId="0" applyFont="1" applyFill="1" applyBorder="1" applyAlignment="1">
      <alignment horizontal="center" vertical="center" wrapText="1"/>
    </xf>
    <xf numFmtId="0" fontId="36" fillId="15" borderId="61" xfId="0" applyFont="1" applyFill="1" applyBorder="1" applyAlignment="1">
      <alignment horizontal="center" vertical="center" wrapText="1"/>
    </xf>
    <xf numFmtId="0" fontId="36" fillId="15" borderId="64" xfId="0" applyFont="1" applyFill="1" applyBorder="1" applyAlignment="1">
      <alignment horizontal="center" vertical="center" wrapText="1"/>
    </xf>
    <xf numFmtId="0" fontId="36" fillId="15" borderId="63" xfId="0" applyFont="1" applyFill="1" applyBorder="1" applyAlignment="1">
      <alignment horizontal="center" vertical="center" wrapText="1"/>
    </xf>
    <xf numFmtId="0" fontId="36" fillId="15" borderId="58"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31" fillId="12" borderId="52" xfId="0" applyFont="1" applyFill="1" applyBorder="1" applyAlignment="1">
      <alignment horizontal="center" vertical="center" wrapText="1"/>
    </xf>
    <xf numFmtId="0" fontId="32" fillId="12" borderId="24" xfId="0" applyFont="1" applyFill="1" applyBorder="1" applyAlignment="1">
      <alignment horizontal="center" vertical="center"/>
    </xf>
    <xf numFmtId="0" fontId="32" fillId="12" borderId="25" xfId="0" applyFont="1" applyFill="1" applyBorder="1" applyAlignment="1">
      <alignment horizontal="center" vertical="center"/>
    </xf>
    <xf numFmtId="0" fontId="32" fillId="12" borderId="50" xfId="0" applyFont="1" applyFill="1" applyBorder="1" applyAlignment="1">
      <alignment horizontal="center" vertical="center"/>
    </xf>
    <xf numFmtId="0" fontId="33" fillId="12" borderId="51" xfId="0" applyFont="1" applyFill="1" applyBorder="1" applyAlignment="1">
      <alignment horizontal="center" vertical="center" wrapText="1"/>
    </xf>
    <xf numFmtId="0" fontId="33" fillId="12" borderId="25" xfId="0" applyFont="1" applyFill="1" applyBorder="1" applyAlignment="1">
      <alignment horizontal="center" vertical="center" wrapText="1"/>
    </xf>
    <xf numFmtId="0" fontId="33" fillId="12" borderId="50" xfId="0" applyFont="1" applyFill="1" applyBorder="1" applyAlignment="1">
      <alignment horizontal="center" vertical="center" wrapText="1"/>
    </xf>
    <xf numFmtId="0" fontId="18" fillId="7" borderId="10" xfId="0" applyFont="1" applyFill="1" applyBorder="1" applyAlignment="1">
      <alignment horizontal="left" vertical="top" wrapText="1"/>
    </xf>
    <xf numFmtId="0" fontId="18" fillId="7" borderId="10" xfId="0" applyFont="1" applyFill="1" applyBorder="1" applyAlignment="1">
      <alignment horizontal="left" vertical="top"/>
    </xf>
    <xf numFmtId="183" fontId="18" fillId="7" borderId="10" xfId="0" applyNumberFormat="1" applyFont="1" applyFill="1" applyBorder="1" applyAlignment="1">
      <alignment horizontal="left" vertical="top"/>
    </xf>
    <xf numFmtId="0" fontId="17" fillId="6" borderId="2" xfId="0" applyFont="1" applyFill="1" applyBorder="1" applyAlignment="1">
      <alignment horizontal="center" wrapText="1"/>
    </xf>
    <xf numFmtId="0" fontId="0" fillId="6" borderId="3" xfId="0" applyFill="1" applyBorder="1" applyAlignment="1">
      <alignment horizontal="left"/>
    </xf>
    <xf numFmtId="0" fontId="0" fillId="6" borderId="4" xfId="0" applyFill="1" applyBorder="1" applyAlignment="1">
      <alignment horizontal="left"/>
    </xf>
    <xf numFmtId="0" fontId="17" fillId="6" borderId="1" xfId="0" applyFont="1" applyFill="1" applyBorder="1" applyAlignment="1">
      <alignment horizontal="center" wrapText="1"/>
    </xf>
    <xf numFmtId="0" fontId="0" fillId="6" borderId="0" xfId="0" applyFill="1" applyAlignment="1">
      <alignment horizontal="left"/>
    </xf>
    <xf numFmtId="0" fontId="0" fillId="6" borderId="5" xfId="0" applyFill="1" applyBorder="1" applyAlignment="1">
      <alignment horizontal="left"/>
    </xf>
    <xf numFmtId="0" fontId="18" fillId="7" borderId="10"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11" xfId="0" applyFont="1" applyFill="1" applyBorder="1" applyAlignment="1">
      <alignment horizontal="center"/>
    </xf>
    <xf numFmtId="0" fontId="18" fillId="7" borderId="12" xfId="0" applyFont="1" applyFill="1" applyBorder="1" applyAlignment="1">
      <alignment horizontal="center"/>
    </xf>
    <xf numFmtId="180" fontId="18" fillId="7" borderId="11" xfId="0" applyNumberFormat="1" applyFont="1" applyFill="1" applyBorder="1" applyAlignment="1">
      <alignment horizontal="center"/>
    </xf>
    <xf numFmtId="0" fontId="18" fillId="7" borderId="11" xfId="0" applyFont="1" applyFill="1" applyBorder="1" applyAlignment="1">
      <alignment horizontal="center" wrapText="1"/>
    </xf>
    <xf numFmtId="0" fontId="19" fillId="6" borderId="1" xfId="0" applyFont="1" applyFill="1" applyBorder="1" applyAlignment="1">
      <alignment horizontal="left" wrapText="1"/>
    </xf>
    <xf numFmtId="0" fontId="19" fillId="6" borderId="6" xfId="0" applyFont="1" applyFill="1" applyBorder="1" applyAlignment="1">
      <alignment horizontal="right" wrapText="1"/>
    </xf>
    <xf numFmtId="0" fontId="0" fillId="6" borderId="7" xfId="0" applyFill="1" applyBorder="1" applyAlignment="1">
      <alignment horizontal="left"/>
    </xf>
    <xf numFmtId="0" fontId="0" fillId="6" borderId="8" xfId="0" applyFill="1" applyBorder="1" applyAlignment="1">
      <alignment horizontal="left"/>
    </xf>
    <xf numFmtId="0" fontId="5" fillId="0" borderId="0" xfId="0" applyFont="1" applyAlignment="1">
      <alignment vertical="top" wrapText="1"/>
    </xf>
    <xf numFmtId="0" fontId="0" fillId="0" borderId="0" xfId="0" applyAlignment="1">
      <alignment vertical="top" wrapText="1"/>
    </xf>
    <xf numFmtId="0" fontId="28" fillId="0" borderId="35" xfId="0" applyFont="1" applyBorder="1" applyAlignment="1">
      <alignment horizontal="center" vertical="center"/>
    </xf>
    <xf numFmtId="3" fontId="27" fillId="0" borderId="35" xfId="0" applyNumberFormat="1" applyFont="1" applyBorder="1" applyAlignment="1">
      <alignment horizontal="center" vertical="center"/>
    </xf>
    <xf numFmtId="9" fontId="0" fillId="0" borderId="35" xfId="0" applyNumberFormat="1" applyBorder="1" applyAlignment="1">
      <alignment horizontal="center"/>
    </xf>
    <xf numFmtId="3" fontId="2" fillId="0" borderId="35" xfId="0" applyNumberFormat="1" applyFont="1" applyBorder="1" applyAlignment="1">
      <alignment horizontal="center"/>
    </xf>
    <xf numFmtId="0" fontId="2" fillId="0" borderId="35" xfId="0" applyFont="1" applyBorder="1" applyAlignment="1">
      <alignment horizontal="center"/>
    </xf>
    <xf numFmtId="1" fontId="0" fillId="16" borderId="36" xfId="0" applyNumberFormat="1" applyFill="1" applyBorder="1" applyAlignment="1">
      <alignment horizontal="center"/>
    </xf>
    <xf numFmtId="1" fontId="0" fillId="16" borderId="0" xfId="0" applyNumberFormat="1" applyFill="1" applyBorder="1" applyAlignment="1">
      <alignment horizontal="center"/>
    </xf>
    <xf numFmtId="1" fontId="0" fillId="16" borderId="33" xfId="0" applyNumberFormat="1" applyFill="1" applyBorder="1" applyAlignment="1">
      <alignment horizontal="center"/>
    </xf>
    <xf numFmtId="0" fontId="39" fillId="16" borderId="79" xfId="0" applyFont="1" applyFill="1" applyBorder="1" applyAlignment="1">
      <alignment horizontal="center"/>
    </xf>
    <xf numFmtId="0" fontId="39" fillId="16" borderId="80" xfId="0" applyFont="1" applyFill="1" applyBorder="1" applyAlignment="1">
      <alignment horizontal="center"/>
    </xf>
    <xf numFmtId="0" fontId="39" fillId="16" borderId="81" xfId="0" applyFont="1" applyFill="1" applyBorder="1" applyAlignment="1">
      <alignment horizontal="center"/>
    </xf>
    <xf numFmtId="0" fontId="0" fillId="16" borderId="85" xfId="0" applyFill="1" applyBorder="1" applyAlignment="1">
      <alignment horizontal="center"/>
    </xf>
    <xf numFmtId="0" fontId="0" fillId="16" borderId="88" xfId="0" applyFill="1" applyBorder="1" applyAlignment="1">
      <alignment horizontal="center"/>
    </xf>
    <xf numFmtId="1" fontId="0" fillId="16" borderId="2" xfId="0" applyNumberFormat="1" applyFill="1" applyBorder="1" applyAlignment="1">
      <alignment horizontal="left" wrapText="1"/>
    </xf>
    <xf numFmtId="1" fontId="0" fillId="16" borderId="3" xfId="0" applyNumberFormat="1" applyFill="1" applyBorder="1" applyAlignment="1">
      <alignment horizontal="left" wrapText="1"/>
    </xf>
    <xf numFmtId="1" fontId="0" fillId="16" borderId="4" xfId="0" applyNumberFormat="1" applyFill="1" applyBorder="1" applyAlignment="1">
      <alignment horizontal="left" wrapText="1"/>
    </xf>
    <xf numFmtId="0" fontId="39" fillId="16" borderId="2" xfId="0" applyFont="1" applyFill="1" applyBorder="1" applyAlignment="1">
      <alignment horizontal="center"/>
    </xf>
    <xf numFmtId="0" fontId="39" fillId="16" borderId="86" xfId="0" applyFont="1" applyFill="1" applyBorder="1" applyAlignment="1">
      <alignment horizontal="center"/>
    </xf>
    <xf numFmtId="0" fontId="0" fillId="16" borderId="87" xfId="0" applyFill="1" applyBorder="1" applyAlignment="1">
      <alignment horizontal="center"/>
    </xf>
    <xf numFmtId="0" fontId="0" fillId="16" borderId="4" xfId="0" applyFill="1" applyBorder="1" applyAlignment="1">
      <alignment horizontal="center"/>
    </xf>
    <xf numFmtId="0" fontId="0" fillId="0" borderId="39" xfId="0" applyBorder="1" applyAlignment="1">
      <alignment horizontal="center"/>
    </xf>
    <xf numFmtId="0" fontId="0" fillId="0" borderId="38" xfId="0" applyBorder="1" applyAlignment="1">
      <alignment horizontal="center"/>
    </xf>
    <xf numFmtId="0" fontId="0" fillId="0" borderId="37" xfId="0" applyBorder="1" applyAlignment="1">
      <alignment horizontal="center"/>
    </xf>
    <xf numFmtId="0" fontId="0" fillId="0" borderId="40" xfId="0" applyBorder="1" applyAlignment="1">
      <alignment horizontal="center"/>
    </xf>
    <xf numFmtId="0" fontId="5" fillId="0" borderId="0" xfId="0" applyFont="1"/>
    <xf numFmtId="0" fontId="0" fillId="0" borderId="0" xfId="0"/>
    <xf numFmtId="0" fontId="5" fillId="0" borderId="0" xfId="0" applyFont="1" applyAlignment="1">
      <alignment horizontal="left" wrapText="1"/>
    </xf>
    <xf numFmtId="0" fontId="41" fillId="0" borderId="67" xfId="6" applyFont="1" applyBorder="1" applyAlignment="1">
      <alignment horizontal="center"/>
    </xf>
    <xf numFmtId="0" fontId="41" fillId="0" borderId="68" xfId="6" applyFont="1" applyBorder="1" applyAlignment="1">
      <alignment horizontal="center"/>
    </xf>
    <xf numFmtId="0" fontId="41" fillId="0" borderId="69" xfId="6" applyFont="1" applyBorder="1" applyAlignment="1">
      <alignment horizontal="center"/>
    </xf>
    <xf numFmtId="167" fontId="40" fillId="0" borderId="24" xfId="6" applyNumberFormat="1" applyFont="1" applyBorder="1" applyAlignment="1">
      <alignment horizontal="center"/>
    </xf>
    <xf numFmtId="167" fontId="40" fillId="0" borderId="25" xfId="6" applyNumberFormat="1" applyFont="1" applyBorder="1" applyAlignment="1">
      <alignment horizontal="center"/>
    </xf>
    <xf numFmtId="167" fontId="40" fillId="0" borderId="26" xfId="6" applyNumberFormat="1" applyFont="1" applyBorder="1" applyAlignment="1">
      <alignment horizontal="center"/>
    </xf>
    <xf numFmtId="0" fontId="42" fillId="0" borderId="0" xfId="6" applyFont="1" applyAlignment="1">
      <alignment horizontal="left" wrapText="1"/>
    </xf>
  </cellXfs>
  <cellStyles count="8">
    <cellStyle name="Comma" xfId="1" builtinId="3"/>
    <cellStyle name="Currency" xfId="4" builtinId="4"/>
    <cellStyle name="Factor" xfId="3" xr:uid="{70969E6C-ACDC-4A9A-A5DD-C81E6403A5F5}"/>
    <cellStyle name="Good" xfId="7" builtinId="26"/>
    <cellStyle name="Hyperlink" xfId="2" builtinId="8"/>
    <cellStyle name="Normal" xfId="0" builtinId="0"/>
    <cellStyle name="Normal 2" xfId="6" xr:uid="{732C88EE-8C1E-47E3-A5E8-5145DDCB468E}"/>
    <cellStyle name="Percent" xfId="5" builtinId="5"/>
  </cellStyles>
  <dxfs count="14">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StyleMedium2 2" pivot="0" count="7" xr9:uid="{AEBDF176-0957-B649-B4CF-40121F52F635}">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2 3" pivot="0" count="7" xr9:uid="{3D801C2B-21A4-B74E-9A6C-53B745233E2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bpgroup.sharepoint.com/sites/US_W_All_Staff/Freigegebene%20Dokumente/Small%20Projects/1052%20-%20OK%20DOT%201-40%20BIP%20Grant%20BCA%20-%20HS/BCA%20model/Copy%20of%20I44%20and%20US75%20BCA_2021%20INFRA%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TT"/>
      <sheetName val="Emissions"/>
      <sheetName val="Safety"/>
      <sheetName val="Shipper Costs"/>
      <sheetName val="Costs"/>
      <sheetName val="TDM"/>
      <sheetName val="Look Up"/>
      <sheetName val="Sheet2"/>
      <sheetName val="Sheet1"/>
    </sheetNames>
    <sheetDataSet>
      <sheetData sheetId="0"/>
      <sheetData sheetId="1"/>
      <sheetData sheetId="2"/>
      <sheetData sheetId="3"/>
      <sheetData sheetId="4"/>
      <sheetData sheetId="5"/>
      <sheetData sheetId="6"/>
      <sheetData sheetId="7">
        <row r="15">
          <cell r="B15">
            <v>1000000</v>
          </cell>
        </row>
      </sheetData>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Ira Hirschman" id="{C9F99B30-30A1-4466-86EB-FCB247059943}" userId="adb1586570524b18" providerId="Windows Live"/>
  <person displayName="Hirschman, Ira" id="{B6E741A3-8576-4CAD-B537-B0205A394495}" userId="S::ira.hirschman@ebp-us.com::bb5459e6-3d94-428d-9a26-17d87892707a" providerId="AD"/>
  <person displayName="Ruderman, Tess" id="{21DE123E-B354-0D49-BF03-F01266103FA0}" userId="S::tess.ruderman@ebp-us.com::9dd7b339-95b9-4a01-b588-7275e580667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1-06-29T12:26:56.12" personId="{C9F99B30-30A1-4466-86EB-FCB247059943}" id="{A6BD0F67-7671-40E5-A35A-4A39F80ACAFC}">
    <text>adjust back to vehicle hours, not passenger hours</text>
  </threadedComment>
  <threadedComment ref="A16" dT="2021-05-23T23:12:07.67" personId="{21DE123E-B354-0D49-BF03-F01266103FA0}" id="{5080EA70-A083-1549-9D89-5C2A9D64DBC5}">
    <text>This table pulls from the Look Up tab and employs a linear decrease for emissions post 2025. Several of the pollutants hit 0 using this formula in the 2030s or 2040s</text>
  </threadedComment>
  <threadedComment ref="G16" dT="2021-05-23T23:35:53.86" personId="{21DE123E-B354-0D49-BF03-F01266103FA0}" id="{64EE20D0-1213-D042-8BF3-FA4893D43D8D}">
    <text>Starts emissions decrease formula</text>
  </threadedComment>
  <threadedComment ref="G16" dT="2021-05-26T17:15:04.27" personId="{21DE123E-B354-0D49-BF03-F01266103FA0}" id="{167FA52E-694D-674A-A88A-4D5BFFC4D24F}" parentId="{64EE20D0-1213-D042-8BF3-FA4893D43D8D}">
    <text>Updated to % decrease</text>
  </threadedComment>
</ThreadedComments>
</file>

<file path=xl/threadedComments/threadedComment2.xml><?xml version="1.0" encoding="utf-8"?>
<ThreadedComments xmlns="http://schemas.microsoft.com/office/spreadsheetml/2018/threadedcomments" xmlns:x="http://schemas.openxmlformats.org/spreadsheetml/2006/main">
  <threadedComment ref="C12" dT="2022-08-24T13:38:46.64" personId="{B6E741A3-8576-4CAD-B537-B0205A394495}" id="{67D51CC0-690C-4988-AB9F-6F710162D615}">
    <text>Hajra, can you list all three of the CMF sources here, since there were three of them and all were about the same value, so that reinforces the value we are using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pa.gov/moves/latest-version-motor-vehicle-emission-simulator-moves" TargetMode="External"/><Relationship Id="rId1" Type="http://schemas.openxmlformats.org/officeDocument/2006/relationships/hyperlink" Target="https://www.epa.gov/energy/greenhouse-gases-equivalencies-calculator-calculations-and-reference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BE7A9-E505-4EE1-AADD-4B68BF081C89}">
  <sheetPr>
    <tabColor rgb="FF0070C0"/>
  </sheetPr>
  <dimension ref="A1:AJ48"/>
  <sheetViews>
    <sheetView tabSelected="1" zoomScale="75" zoomScaleNormal="75" workbookViewId="0">
      <selection activeCell="F42" sqref="F42"/>
    </sheetView>
  </sheetViews>
  <sheetFormatPr defaultColWidth="8.85546875" defaultRowHeight="15"/>
  <cols>
    <col min="1" max="1" width="43.5703125" customWidth="1"/>
    <col min="2" max="2" width="15.85546875" customWidth="1"/>
    <col min="3" max="3" width="2.5703125" customWidth="1"/>
    <col min="4" max="4" width="12.5703125" customWidth="1"/>
    <col min="5" max="35" width="14.42578125" bestFit="1" customWidth="1"/>
    <col min="36" max="36" width="19.140625" customWidth="1"/>
  </cols>
  <sheetData>
    <row r="1" spans="1:36" ht="18.75">
      <c r="A1" s="180" t="s">
        <v>0</v>
      </c>
      <c r="B1" s="180"/>
      <c r="C1" s="180"/>
    </row>
    <row r="2" spans="1:36" ht="18.75">
      <c r="A2" s="180"/>
      <c r="B2" s="180"/>
      <c r="C2" s="180"/>
    </row>
    <row r="3" spans="1:36">
      <c r="A3" s="17" t="s">
        <v>1</v>
      </c>
      <c r="B3" s="17"/>
      <c r="C3" s="17"/>
      <c r="D3">
        <v>2020</v>
      </c>
      <c r="E3">
        <f>D3+1</f>
        <v>2021</v>
      </c>
      <c r="F3">
        <f t="shared" ref="F3:AA3" si="0">E3+1</f>
        <v>2022</v>
      </c>
      <c r="G3">
        <f t="shared" si="0"/>
        <v>2023</v>
      </c>
      <c r="H3">
        <f t="shared" si="0"/>
        <v>2024</v>
      </c>
      <c r="I3">
        <f t="shared" si="0"/>
        <v>2025</v>
      </c>
      <c r="J3">
        <f t="shared" si="0"/>
        <v>2026</v>
      </c>
      <c r="K3">
        <f t="shared" si="0"/>
        <v>2027</v>
      </c>
      <c r="L3">
        <f t="shared" si="0"/>
        <v>2028</v>
      </c>
      <c r="M3">
        <f t="shared" si="0"/>
        <v>2029</v>
      </c>
      <c r="N3">
        <f t="shared" si="0"/>
        <v>2030</v>
      </c>
      <c r="O3">
        <f t="shared" si="0"/>
        <v>2031</v>
      </c>
      <c r="P3">
        <f t="shared" si="0"/>
        <v>2032</v>
      </c>
      <c r="Q3">
        <f t="shared" si="0"/>
        <v>2033</v>
      </c>
      <c r="R3">
        <f t="shared" si="0"/>
        <v>2034</v>
      </c>
      <c r="S3">
        <f t="shared" si="0"/>
        <v>2035</v>
      </c>
      <c r="T3">
        <f t="shared" si="0"/>
        <v>2036</v>
      </c>
      <c r="U3">
        <f t="shared" si="0"/>
        <v>2037</v>
      </c>
      <c r="V3">
        <f t="shared" si="0"/>
        <v>2038</v>
      </c>
      <c r="W3">
        <f t="shared" si="0"/>
        <v>2039</v>
      </c>
      <c r="X3">
        <f t="shared" si="0"/>
        <v>2040</v>
      </c>
      <c r="Y3">
        <f t="shared" si="0"/>
        <v>2041</v>
      </c>
      <c r="Z3">
        <f t="shared" si="0"/>
        <v>2042</v>
      </c>
      <c r="AA3">
        <f t="shared" si="0"/>
        <v>2043</v>
      </c>
      <c r="AB3">
        <f t="shared" ref="AB3:AB6" si="1">AA3+1</f>
        <v>2044</v>
      </c>
      <c r="AC3">
        <f t="shared" ref="AC3:AC6" si="2">AB3+1</f>
        <v>2045</v>
      </c>
      <c r="AD3">
        <f t="shared" ref="AD3" si="3">AC3+1</f>
        <v>2046</v>
      </c>
      <c r="AE3">
        <f t="shared" ref="AE3" si="4">AD3+1</f>
        <v>2047</v>
      </c>
      <c r="AF3">
        <f t="shared" ref="AF3" si="5">AE3+1</f>
        <v>2048</v>
      </c>
      <c r="AG3">
        <f t="shared" ref="AG3" si="6">AF3+1</f>
        <v>2049</v>
      </c>
      <c r="AH3">
        <f t="shared" ref="AH3" si="7">AG3+1</f>
        <v>2050</v>
      </c>
      <c r="AI3">
        <f t="shared" ref="AI3" si="8">AH3+1</f>
        <v>2051</v>
      </c>
    </row>
    <row r="4" spans="1:36">
      <c r="A4" t="s">
        <v>2</v>
      </c>
      <c r="B4" s="17"/>
      <c r="C4" s="17"/>
      <c r="H4">
        <v>1</v>
      </c>
      <c r="I4">
        <v>2</v>
      </c>
      <c r="J4">
        <v>3</v>
      </c>
    </row>
    <row r="5" spans="1:36">
      <c r="A5" s="33" t="s">
        <v>3</v>
      </c>
      <c r="B5" s="33"/>
      <c r="C5" s="33"/>
      <c r="D5" t="s">
        <v>4</v>
      </c>
      <c r="E5" t="s">
        <v>4</v>
      </c>
      <c r="F5" t="s">
        <v>4</v>
      </c>
      <c r="G5" t="s">
        <v>4</v>
      </c>
      <c r="K5">
        <v>1</v>
      </c>
      <c r="L5">
        <f t="shared" ref="L5" si="9">K5+1</f>
        <v>2</v>
      </c>
      <c r="M5">
        <f t="shared" ref="M5" si="10">L5+1</f>
        <v>3</v>
      </c>
      <c r="N5">
        <f t="shared" ref="N5" si="11">M5+1</f>
        <v>4</v>
      </c>
      <c r="O5">
        <f t="shared" ref="O5" si="12">N5+1</f>
        <v>5</v>
      </c>
      <c r="P5">
        <f t="shared" ref="P5" si="13">O5+1</f>
        <v>6</v>
      </c>
      <c r="Q5">
        <f t="shared" ref="Q5" si="14">P5+1</f>
        <v>7</v>
      </c>
      <c r="R5">
        <f t="shared" ref="R5" si="15">Q5+1</f>
        <v>8</v>
      </c>
      <c r="S5">
        <f t="shared" ref="S5" si="16">R5+1</f>
        <v>9</v>
      </c>
      <c r="T5">
        <f t="shared" ref="T5" si="17">S5+1</f>
        <v>10</v>
      </c>
      <c r="U5">
        <f t="shared" ref="U5" si="18">T5+1</f>
        <v>11</v>
      </c>
      <c r="V5">
        <f t="shared" ref="V5" si="19">U5+1</f>
        <v>12</v>
      </c>
      <c r="W5">
        <f t="shared" ref="W5" si="20">V5+1</f>
        <v>13</v>
      </c>
      <c r="X5">
        <f t="shared" ref="X5" si="21">W5+1</f>
        <v>14</v>
      </c>
      <c r="Y5">
        <f t="shared" ref="Y5" si="22">X5+1</f>
        <v>15</v>
      </c>
      <c r="Z5">
        <f t="shared" ref="Z5" si="23">Y5+1</f>
        <v>16</v>
      </c>
      <c r="AA5">
        <f t="shared" ref="AA5" si="24">Z5+1</f>
        <v>17</v>
      </c>
      <c r="AB5">
        <f t="shared" ref="AB5" si="25">AA5+1</f>
        <v>18</v>
      </c>
      <c r="AC5">
        <f t="shared" ref="AC5" si="26">AB5+1</f>
        <v>19</v>
      </c>
      <c r="AD5">
        <f t="shared" ref="AD5:AD6" si="27">AC5+1</f>
        <v>20</v>
      </c>
      <c r="AE5">
        <f t="shared" ref="AE5:AE6" si="28">AD5+1</f>
        <v>21</v>
      </c>
      <c r="AF5">
        <f t="shared" ref="AF5:AF6" si="29">AE5+1</f>
        <v>22</v>
      </c>
      <c r="AG5">
        <f t="shared" ref="AG5:AG6" si="30">AF5+1</f>
        <v>23</v>
      </c>
      <c r="AH5">
        <f t="shared" ref="AH5:AI6" si="31">AG5+1</f>
        <v>24</v>
      </c>
      <c r="AI5">
        <f t="shared" si="31"/>
        <v>25</v>
      </c>
    </row>
    <row r="6" spans="1:36">
      <c r="A6" s="33" t="s">
        <v>5</v>
      </c>
      <c r="B6" s="33"/>
      <c r="C6" s="33"/>
      <c r="D6">
        <v>0</v>
      </c>
      <c r="E6">
        <f>D6+1</f>
        <v>1</v>
      </c>
      <c r="F6">
        <f t="shared" ref="F6:AA6" si="32">E6+1</f>
        <v>2</v>
      </c>
      <c r="G6">
        <f t="shared" si="32"/>
        <v>3</v>
      </c>
      <c r="H6">
        <f t="shared" si="32"/>
        <v>4</v>
      </c>
      <c r="I6">
        <f t="shared" si="32"/>
        <v>5</v>
      </c>
      <c r="J6">
        <f t="shared" si="32"/>
        <v>6</v>
      </c>
      <c r="K6">
        <f t="shared" si="32"/>
        <v>7</v>
      </c>
      <c r="L6">
        <f t="shared" si="32"/>
        <v>8</v>
      </c>
      <c r="M6">
        <f t="shared" si="32"/>
        <v>9</v>
      </c>
      <c r="N6">
        <f t="shared" si="32"/>
        <v>10</v>
      </c>
      <c r="O6">
        <f t="shared" si="32"/>
        <v>11</v>
      </c>
      <c r="P6">
        <f t="shared" si="32"/>
        <v>12</v>
      </c>
      <c r="Q6">
        <f t="shared" si="32"/>
        <v>13</v>
      </c>
      <c r="R6">
        <f t="shared" si="32"/>
        <v>14</v>
      </c>
      <c r="S6">
        <f t="shared" si="32"/>
        <v>15</v>
      </c>
      <c r="T6">
        <f t="shared" si="32"/>
        <v>16</v>
      </c>
      <c r="U6">
        <f t="shared" si="32"/>
        <v>17</v>
      </c>
      <c r="V6">
        <f t="shared" si="32"/>
        <v>18</v>
      </c>
      <c r="W6">
        <f t="shared" si="32"/>
        <v>19</v>
      </c>
      <c r="X6">
        <f t="shared" si="32"/>
        <v>20</v>
      </c>
      <c r="Y6">
        <f t="shared" si="32"/>
        <v>21</v>
      </c>
      <c r="Z6">
        <f t="shared" si="32"/>
        <v>22</v>
      </c>
      <c r="AA6">
        <f t="shared" si="32"/>
        <v>23</v>
      </c>
      <c r="AB6">
        <f t="shared" si="1"/>
        <v>24</v>
      </c>
      <c r="AC6">
        <f t="shared" si="2"/>
        <v>25</v>
      </c>
      <c r="AD6">
        <f t="shared" si="27"/>
        <v>26</v>
      </c>
      <c r="AE6">
        <f t="shared" si="28"/>
        <v>27</v>
      </c>
      <c r="AF6">
        <f t="shared" si="29"/>
        <v>28</v>
      </c>
      <c r="AG6">
        <f t="shared" si="30"/>
        <v>29</v>
      </c>
      <c r="AH6">
        <f t="shared" si="31"/>
        <v>30</v>
      </c>
      <c r="AI6">
        <f t="shared" si="31"/>
        <v>31</v>
      </c>
    </row>
    <row r="7" spans="1:36">
      <c r="A7" s="33" t="s">
        <v>6</v>
      </c>
      <c r="B7" s="33"/>
      <c r="C7" s="33"/>
      <c r="D7" s="3">
        <f>(1+'Look Up Data'!$B$2)^D6</f>
        <v>1</v>
      </c>
      <c r="E7" s="3">
        <f>(1+'Look Up Data'!$B$2)^E6</f>
        <v>1.07</v>
      </c>
      <c r="F7" s="3">
        <f>(1+'Look Up Data'!$B$2)^F6</f>
        <v>1.1449</v>
      </c>
      <c r="G7" s="3">
        <f>(1+'Look Up Data'!$B$2)^G6</f>
        <v>1.2250430000000001</v>
      </c>
      <c r="H7" s="3">
        <f>(1+'Look Up Data'!$B$2)^H6</f>
        <v>1.31079601</v>
      </c>
      <c r="I7" s="3">
        <f>(1+'Look Up Data'!$B$2)^I6</f>
        <v>1.4025517307000002</v>
      </c>
      <c r="J7" s="3">
        <f>(1+'Look Up Data'!$B$2)^J6</f>
        <v>1.5007303518490001</v>
      </c>
      <c r="K7" s="3">
        <f>(1+'Look Up Data'!$B$2)^K6</f>
        <v>1.6057814764784302</v>
      </c>
      <c r="L7" s="3">
        <f>(1+'Look Up Data'!$B$2)^L6</f>
        <v>1.7181861798319202</v>
      </c>
      <c r="M7" s="3">
        <f>(1+'Look Up Data'!$B$2)^M6</f>
        <v>1.8384592124201549</v>
      </c>
      <c r="N7" s="3">
        <f>(1+'Look Up Data'!$B$2)^N6</f>
        <v>1.9671513572895656</v>
      </c>
      <c r="O7" s="3">
        <f>(1+'Look Up Data'!$B$2)^O6</f>
        <v>2.1048519522998355</v>
      </c>
      <c r="P7" s="3">
        <f>(1+'Look Up Data'!$B$2)^P6</f>
        <v>2.2521915889608235</v>
      </c>
      <c r="Q7" s="3">
        <f>(1+'Look Up Data'!$B$2)^Q6</f>
        <v>2.4098450001880813</v>
      </c>
      <c r="R7" s="3">
        <f>(1+'Look Up Data'!$B$2)^R6</f>
        <v>2.5785341502012469</v>
      </c>
      <c r="S7" s="3">
        <f>(1+'Look Up Data'!$B$2)^S6</f>
        <v>2.7590315407153345</v>
      </c>
      <c r="T7" s="3">
        <f>(1+'Look Up Data'!$B$2)^T6</f>
        <v>2.9521637485654075</v>
      </c>
      <c r="U7" s="3">
        <f>(1+'Look Up Data'!$B$2)^U6</f>
        <v>3.1588152109649861</v>
      </c>
      <c r="V7" s="3">
        <f>(1+'Look Up Data'!$B$2)^V6</f>
        <v>3.3799322757325352</v>
      </c>
      <c r="W7" s="3">
        <f>(1+'Look Up Data'!$B$2)^W6</f>
        <v>3.6165275350338129</v>
      </c>
      <c r="X7" s="3">
        <f>(1+'Look Up Data'!$B$2)^X6</f>
        <v>3.8696844624861795</v>
      </c>
      <c r="Y7" s="3">
        <f>(1+'Look Up Data'!$B$2)^Y6</f>
        <v>4.1405623748602123</v>
      </c>
      <c r="Z7" s="3">
        <f>(1+'Look Up Data'!$B$2)^Z6</f>
        <v>4.4304017411004271</v>
      </c>
      <c r="AA7" s="3">
        <f>(1+'Look Up Data'!$B$2)^AA6</f>
        <v>4.740529862977457</v>
      </c>
      <c r="AB7" s="3">
        <f>(1+'Look Up Data'!$B$2)^AB6</f>
        <v>5.0723669533858793</v>
      </c>
      <c r="AC7" s="3">
        <f>(1+'Look Up Data'!$B$2)^AC6</f>
        <v>5.4274326401228912</v>
      </c>
      <c r="AD7" s="3">
        <f>(1+'Look Up Data'!$B$2)^AD6</f>
        <v>5.807352924931493</v>
      </c>
      <c r="AE7" s="3">
        <f>(1+'Look Up Data'!$B$2)^AE6</f>
        <v>6.2138676296766988</v>
      </c>
      <c r="AF7" s="3">
        <f>(1+'Look Up Data'!$B$2)^AF6</f>
        <v>6.6488383637540664</v>
      </c>
      <c r="AG7" s="3">
        <f>(1+'Look Up Data'!$B$2)^AG6</f>
        <v>7.1142570492168513</v>
      </c>
      <c r="AH7" s="3">
        <f>(1+'Look Up Data'!$B$2)^AH6</f>
        <v>7.6122550426620306</v>
      </c>
      <c r="AI7" s="3">
        <f>(1+'Look Up Data'!$B$2)^AI6</f>
        <v>8.1451128956483743</v>
      </c>
    </row>
    <row r="8" spans="1:36">
      <c r="A8" s="33" t="s">
        <v>7</v>
      </c>
      <c r="B8" s="33"/>
      <c r="C8" s="33"/>
      <c r="D8" s="3">
        <f>(1+'Look Up Data'!$B$3)^D6</f>
        <v>1</v>
      </c>
      <c r="E8" s="3">
        <f>(1+'Look Up Data'!$B$3)^E6</f>
        <v>1.03</v>
      </c>
      <c r="F8" s="3">
        <f>(1+'Look Up Data'!$B$3)^F6</f>
        <v>1.0609</v>
      </c>
      <c r="G8" s="3">
        <f>(1+'Look Up Data'!$B$3)^G6</f>
        <v>1.092727</v>
      </c>
      <c r="H8" s="3">
        <f>(1+'Look Up Data'!$B$3)^H6</f>
        <v>1.1255088099999999</v>
      </c>
      <c r="I8" s="3">
        <f>(1+'Look Up Data'!$B$3)^I6</f>
        <v>1.1592740742999998</v>
      </c>
      <c r="J8" s="3">
        <f>(1+'Look Up Data'!$B$3)^J6</f>
        <v>1.1940522965289999</v>
      </c>
      <c r="K8" s="3">
        <f>(1+'Look Up Data'!$B$3)^K6</f>
        <v>1.22987386542487</v>
      </c>
      <c r="L8" s="3">
        <f>(1+'Look Up Data'!$B$3)^L6</f>
        <v>1.2667700813876159</v>
      </c>
      <c r="M8" s="3">
        <f>(1+'Look Up Data'!$B$3)^M6</f>
        <v>1.3047731838292445</v>
      </c>
      <c r="N8" s="3">
        <f>(1+'Look Up Data'!$B$3)^N6</f>
        <v>1.3439163793441218</v>
      </c>
      <c r="O8" s="3">
        <f>(1+'Look Up Data'!$B$3)^O6</f>
        <v>1.3842338707244455</v>
      </c>
      <c r="P8" s="3">
        <f>(1+'Look Up Data'!$B$3)^P6</f>
        <v>1.4257608868461786</v>
      </c>
      <c r="Q8" s="3">
        <f>(1+'Look Up Data'!$B$3)^Q6</f>
        <v>1.4685337134515639</v>
      </c>
      <c r="R8" s="3">
        <f>(1+'Look Up Data'!$B$3)^R6</f>
        <v>1.512589724855111</v>
      </c>
      <c r="S8" s="3">
        <f>(1+'Look Up Data'!$B$3)^S6</f>
        <v>1.5579674166007644</v>
      </c>
      <c r="T8" s="3">
        <f>(1+'Look Up Data'!$B$3)^T6</f>
        <v>1.6047064390987871</v>
      </c>
      <c r="U8" s="3">
        <f>(1+'Look Up Data'!$B$3)^U6</f>
        <v>1.6528476322717507</v>
      </c>
      <c r="V8" s="3">
        <f>(1+'Look Up Data'!$B$3)^V6</f>
        <v>1.7024330612399032</v>
      </c>
      <c r="W8" s="3">
        <f>(1+'Look Up Data'!$B$3)^W6</f>
        <v>1.7535060530771003</v>
      </c>
      <c r="X8" s="3">
        <f>(1+'Look Up Data'!$B$3)^X6</f>
        <v>1.8061112346694133</v>
      </c>
      <c r="Y8" s="3">
        <f>(1+'Look Up Data'!$B$3)^Y6</f>
        <v>1.8602945717094954</v>
      </c>
      <c r="Z8" s="3">
        <f>(1+'Look Up Data'!$B$3)^Z6</f>
        <v>1.9161034088607805</v>
      </c>
      <c r="AA8" s="3">
        <f>(1+'Look Up Data'!$B$3)^AA6</f>
        <v>1.973586511126604</v>
      </c>
      <c r="AB8" s="3">
        <f>(1+'Look Up Data'!$B$3)^AB6</f>
        <v>2.0327941064604018</v>
      </c>
      <c r="AC8" s="3">
        <f>(1+'Look Up Data'!$B$3)^AC6</f>
        <v>2.0937779296542138</v>
      </c>
      <c r="AD8" s="3">
        <f>(1+'Look Up Data'!$B$3)^AD6</f>
        <v>2.1565912675438406</v>
      </c>
      <c r="AE8" s="3">
        <f>(1+'Look Up Data'!$B$3)^AE6</f>
        <v>2.2212890055701555</v>
      </c>
      <c r="AF8" s="3">
        <f>(1+'Look Up Data'!$B$3)^AF6</f>
        <v>2.2879276757372602</v>
      </c>
      <c r="AG8" s="3">
        <f>(1+'Look Up Data'!$B$3)^AG6</f>
        <v>2.3565655060093778</v>
      </c>
      <c r="AH8" s="3">
        <f>(1+'Look Up Data'!$B$3)^AH6</f>
        <v>2.4272624711896591</v>
      </c>
      <c r="AI8" s="3">
        <f>(1+'Look Up Data'!$B$3)^AI6</f>
        <v>2.5000803453253493</v>
      </c>
    </row>
    <row r="9" spans="1:36">
      <c r="D9" s="3"/>
      <c r="E9" s="3"/>
      <c r="F9" s="3"/>
      <c r="G9" s="3"/>
      <c r="H9" s="3"/>
      <c r="I9" s="3"/>
      <c r="J9" s="3"/>
      <c r="K9" s="3"/>
      <c r="L9" s="3"/>
      <c r="M9" s="3" t="s">
        <v>8</v>
      </c>
      <c r="N9" s="3"/>
      <c r="O9" s="3"/>
      <c r="P9" s="3"/>
      <c r="Q9" s="3"/>
      <c r="R9" s="3"/>
      <c r="S9" s="3"/>
      <c r="T9" s="3"/>
      <c r="U9" s="3"/>
      <c r="V9" s="3"/>
      <c r="W9" s="3"/>
      <c r="X9" s="3"/>
      <c r="Y9" s="3"/>
      <c r="Z9" s="3"/>
      <c r="AA9" s="3"/>
    </row>
    <row r="10" spans="1:36">
      <c r="A10" s="17" t="s">
        <v>9</v>
      </c>
      <c r="B10" s="75" t="s">
        <v>10</v>
      </c>
      <c r="C10" s="75"/>
    </row>
    <row r="11" spans="1:36">
      <c r="A11" t="s">
        <v>11</v>
      </c>
      <c r="B11" s="69">
        <f>SUM(D11:AI11)</f>
        <v>56847111.076640718</v>
      </c>
      <c r="C11" s="69"/>
      <c r="D11" s="213">
        <f>Costs!D9/D7</f>
        <v>3835082</v>
      </c>
      <c r="E11" s="65"/>
      <c r="F11" s="65"/>
      <c r="G11" s="65"/>
      <c r="H11" s="65">
        <f>Costs!H10/H7</f>
        <v>3497598.2164275693</v>
      </c>
      <c r="I11" s="65">
        <f>Costs!I10/Results!I7</f>
        <v>23535240.334839713</v>
      </c>
      <c r="J11" s="65">
        <f>Costs!J10/Results!J7</f>
        <v>25979190.525373437</v>
      </c>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row>
    <row r="12" spans="1:36">
      <c r="A12" t="s">
        <v>12</v>
      </c>
      <c r="B12" s="69">
        <f>-SUM(D12:AI12)</f>
        <v>-4701088.2826164942</v>
      </c>
      <c r="C12" s="69"/>
      <c r="D12" s="213"/>
      <c r="E12" s="65"/>
      <c r="F12" s="65"/>
      <c r="G12" s="65"/>
      <c r="H12" s="65"/>
      <c r="I12" s="65"/>
      <c r="J12" s="65"/>
      <c r="K12" s="65"/>
      <c r="L12" s="65"/>
      <c r="M12" s="65"/>
      <c r="N12" s="65"/>
      <c r="O12" s="65"/>
      <c r="P12" s="65"/>
      <c r="Q12" s="65"/>
      <c r="R12" s="65"/>
      <c r="S12" s="65"/>
      <c r="T12" s="65"/>
      <c r="U12" s="65"/>
      <c r="V12" s="65"/>
      <c r="W12" s="65"/>
      <c r="X12" s="65"/>
      <c r="Y12" s="65"/>
      <c r="Z12" s="65"/>
      <c r="AA12" s="65"/>
      <c r="AB12" s="22"/>
      <c r="AC12" s="181"/>
      <c r="AD12" s="181"/>
      <c r="AE12" s="181"/>
      <c r="AF12" s="181"/>
      <c r="AG12" s="181"/>
      <c r="AH12" s="181"/>
      <c r="AI12" s="181">
        <f>Costs!AH12/AI7</f>
        <v>4701088.2826164942</v>
      </c>
    </row>
    <row r="13" spans="1:36" ht="15.75" thickBot="1">
      <c r="B13" s="69"/>
      <c r="C13" s="69"/>
      <c r="D13" s="213"/>
      <c r="E13" s="65"/>
      <c r="F13" s="65"/>
      <c r="G13" s="65"/>
      <c r="H13" s="65"/>
      <c r="I13" s="65"/>
      <c r="J13" s="65"/>
      <c r="K13" s="65"/>
      <c r="L13" s="65"/>
      <c r="M13" s="65"/>
      <c r="N13" s="65"/>
      <c r="O13" s="65"/>
      <c r="P13" s="65"/>
      <c r="Q13" s="65"/>
      <c r="R13" s="65"/>
      <c r="S13" s="65"/>
      <c r="T13" s="65"/>
      <c r="U13" s="65"/>
      <c r="V13" s="65"/>
      <c r="W13" s="65"/>
      <c r="X13" s="65"/>
      <c r="Y13" s="65"/>
      <c r="Z13" s="65"/>
      <c r="AA13" s="65"/>
      <c r="AB13" s="22"/>
    </row>
    <row r="14" spans="1:36" ht="15.75" thickBot="1">
      <c r="A14" s="16" t="s">
        <v>13</v>
      </c>
      <c r="B14" s="182">
        <f>B11+B12</f>
        <v>52146022.794024222</v>
      </c>
      <c r="C14" s="69"/>
      <c r="D14" s="212"/>
      <c r="E14" s="22"/>
      <c r="F14" s="22"/>
      <c r="G14" s="22"/>
      <c r="H14" s="22"/>
      <c r="I14" s="22"/>
      <c r="J14" s="22"/>
      <c r="K14" s="22"/>
      <c r="L14" s="22"/>
      <c r="M14" s="22"/>
      <c r="N14" s="22"/>
      <c r="O14" s="22"/>
      <c r="P14" s="22"/>
      <c r="Q14" s="22"/>
      <c r="R14" s="22"/>
      <c r="S14" s="22"/>
      <c r="T14" s="22"/>
      <c r="U14" s="22"/>
      <c r="V14" s="22"/>
      <c r="W14" s="22"/>
      <c r="X14" s="22"/>
      <c r="Y14" s="22"/>
      <c r="Z14" s="22"/>
      <c r="AA14" s="22"/>
      <c r="AB14" s="11"/>
    </row>
    <row r="15" spans="1:36">
      <c r="B15" s="70"/>
      <c r="C15" s="70"/>
      <c r="D15" s="212"/>
      <c r="E15" s="22"/>
      <c r="F15" s="22"/>
      <c r="G15" s="22"/>
      <c r="H15" s="22"/>
      <c r="I15" s="22"/>
      <c r="J15" s="22"/>
      <c r="K15" s="22"/>
      <c r="L15" s="22"/>
      <c r="M15" s="22"/>
      <c r="N15" s="22"/>
      <c r="O15" s="22"/>
      <c r="P15" s="22"/>
      <c r="Q15" s="22"/>
      <c r="R15" s="22"/>
      <c r="S15" s="22"/>
      <c r="T15" s="22"/>
      <c r="U15" s="22"/>
      <c r="V15" s="22"/>
      <c r="W15" s="22"/>
      <c r="X15" s="22"/>
      <c r="Y15" s="22"/>
      <c r="Z15" s="22"/>
      <c r="AA15" s="22"/>
      <c r="AB15" s="11"/>
    </row>
    <row r="16" spans="1:36">
      <c r="A16" s="17" t="s">
        <v>14</v>
      </c>
      <c r="B16" s="71"/>
      <c r="C16" s="71"/>
      <c r="AJ16" t="s">
        <v>48</v>
      </c>
    </row>
    <row r="17" spans="1:36">
      <c r="A17" t="s">
        <v>15</v>
      </c>
      <c r="B17" s="69">
        <f>SUM(D17:AI17)</f>
        <v>5833370.8294231892</v>
      </c>
      <c r="C17" s="69"/>
      <c r="H17" s="181">
        <f>'Maintenance $ Cost Savings'!F15/H7*-1</f>
        <v>76289.521204752527</v>
      </c>
      <c r="I17" s="181">
        <f>'Maintenance $ Cost Savings'!G15/I7*-1</f>
        <v>0</v>
      </c>
      <c r="J17" s="181">
        <f>'Maintenance $ Cost Savings'!H15/J7*-1</f>
        <v>1999026.6714495376</v>
      </c>
      <c r="K17" s="181">
        <f>'Maintenance $ Cost Savings'!I15/K7*-1</f>
        <v>0</v>
      </c>
      <c r="L17" s="181">
        <f>'Maintenance $ Cost Savings'!J15/L7*-1</f>
        <v>0</v>
      </c>
      <c r="M17" s="181">
        <f>'Maintenance $ Cost Savings'!K15/M7*-1</f>
        <v>0</v>
      </c>
      <c r="N17" s="181">
        <f>'Maintenance $ Cost Savings'!L15/N7*-1</f>
        <v>0</v>
      </c>
      <c r="O17" s="181">
        <f>'Maintenance $ Cost Savings'!M15/O7*-1</f>
        <v>0</v>
      </c>
      <c r="P17" s="181">
        <f>'Maintenance $ Cost Savings'!N15/P7*-1</f>
        <v>0</v>
      </c>
      <c r="Q17" s="181">
        <f>'Maintenance $ Cost Savings'!O15/Q7*-1</f>
        <v>0</v>
      </c>
      <c r="R17" s="181">
        <f>'Maintenance $ Cost Savings'!P15/R7*-1</f>
        <v>0</v>
      </c>
      <c r="S17" s="181">
        <f>'Maintenance $ Cost Savings'!Q15/S7*-1</f>
        <v>0</v>
      </c>
      <c r="T17" s="181">
        <f>'Maintenance $ Cost Savings'!R15/T7*-1</f>
        <v>0</v>
      </c>
      <c r="U17" s="181">
        <f>'Maintenance $ Cost Savings'!S15/U7*-1</f>
        <v>0</v>
      </c>
      <c r="V17" s="181">
        <f>'Maintenance $ Cost Savings'!T15/V7*-1</f>
        <v>0</v>
      </c>
      <c r="W17" s="181">
        <f>'Maintenance $ Cost Savings'!U15/W7*-1</f>
        <v>0</v>
      </c>
      <c r="X17" s="181">
        <f>'Maintenance $ Cost Savings'!V15/X7*-1</f>
        <v>3876285.0422080304</v>
      </c>
      <c r="Y17" s="181">
        <f>'Maintenance $ Cost Savings'!W15/Y7*-1</f>
        <v>0</v>
      </c>
      <c r="Z17" s="181">
        <f>'Maintenance $ Cost Savings'!X15/Z7*-1</f>
        <v>0</v>
      </c>
      <c r="AA17" s="181">
        <f>'Maintenance $ Cost Savings'!Y15/AA7*-1</f>
        <v>0</v>
      </c>
      <c r="AB17" s="181">
        <f>'Maintenance $ Cost Savings'!Z15/AB7*-1</f>
        <v>0</v>
      </c>
      <c r="AC17" s="181">
        <f>'Maintenance $ Cost Savings'!AA15/AC7*-1</f>
        <v>0</v>
      </c>
      <c r="AD17" s="181">
        <f>'Maintenance $ Cost Savings'!AB15/AD7*-1</f>
        <v>0</v>
      </c>
      <c r="AE17" s="181">
        <f>'Maintenance $ Cost Savings'!AC15/AE7*-1</f>
        <v>0</v>
      </c>
      <c r="AF17" s="181">
        <f>'Maintenance $ Cost Savings'!AD15/AF7*-1</f>
        <v>0</v>
      </c>
      <c r="AG17" s="181">
        <f>'Maintenance $ Cost Savings'!AE15/AG7*-1</f>
        <v>0</v>
      </c>
      <c r="AH17" s="181">
        <f>'Maintenance $ Cost Savings'!AF15/AH7*-1</f>
        <v>-118230.40543913083</v>
      </c>
      <c r="AI17" s="181">
        <f>'Maintenance $ Cost Savings'!AG15/AI7*-1</f>
        <v>0</v>
      </c>
      <c r="AJ17" s="181">
        <f>SUM(H17:AI17)</f>
        <v>5833370.8294231892</v>
      </c>
    </row>
    <row r="18" spans="1:36">
      <c r="A18" s="34" t="s">
        <v>16</v>
      </c>
      <c r="B18" s="69"/>
      <c r="C18" s="69"/>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row>
    <row r="19" spans="1:36">
      <c r="A19" s="1" t="s">
        <v>17</v>
      </c>
      <c r="B19" s="69">
        <f t="shared" ref="B19:B21" si="33">SUM(D19:AI19)</f>
        <v>27971973.341341272</v>
      </c>
      <c r="C19" s="69"/>
      <c r="I19" s="136"/>
      <c r="J19" s="144"/>
      <c r="K19" s="144">
        <f>'TT $ Benefits '!D6/K7</f>
        <v>2042389.0336782241</v>
      </c>
      <c r="L19" s="144">
        <f>'TT $ Benefits '!E6/L7</f>
        <v>1929042.6825214415</v>
      </c>
      <c r="M19" s="144">
        <f>'TT $ Benefits '!F6/M7</f>
        <v>1821986.7075411396</v>
      </c>
      <c r="N19" s="144">
        <f>'TT $ Benefits '!G6/N7</f>
        <v>1720872.0120788231</v>
      </c>
      <c r="O19" s="144">
        <f>'TT $ Benefits '!H6/O7</f>
        <v>1625368.8732739282</v>
      </c>
      <c r="P19" s="144">
        <f>'TT $ Benefits '!I6/P7</f>
        <v>1535165.8668772362</v>
      </c>
      <c r="Q19" s="144">
        <f>'TT $ Benefits '!J6/Q7</f>
        <v>1449968.8517338475</v>
      </c>
      <c r="R19" s="144">
        <f>'TT $ Benefits '!K6/R7</f>
        <v>1369500.0106242576</v>
      </c>
      <c r="S19" s="144">
        <f>'TT $ Benefits '!L6/S7</f>
        <v>1293496.9443358143</v>
      </c>
      <c r="T19" s="144">
        <f>'TT $ Benefits '!M6/T7</f>
        <v>1221711.8160104479</v>
      </c>
      <c r="U19" s="144">
        <f>'TT $ Benefits '!N6/U7</f>
        <v>1153910.5429784816</v>
      </c>
      <c r="V19" s="144">
        <f>'TT $ Benefits '!O6/V7</f>
        <v>1089872.033443202</v>
      </c>
      <c r="W19" s="144">
        <f>'TT $ Benefits '!P6/W7</f>
        <v>1029387.4655271011</v>
      </c>
      <c r="X19" s="144">
        <f>'TT $ Benefits '!Q6/X7</f>
        <v>972259.60632884817</v>
      </c>
      <c r="Y19" s="144">
        <f>'TT $ Benefits '!R6/Y7</f>
        <v>918302.16877052072</v>
      </c>
      <c r="Z19" s="144">
        <f>'TT $ Benefits '!S6/Z7</f>
        <v>867339.20413784962</v>
      </c>
      <c r="AA19" s="144">
        <f>'TT $ Benefits '!T6/AA7</f>
        <v>819204.52833262191</v>
      </c>
      <c r="AB19" s="144">
        <f>'TT $ Benefits '!U6/AB7</f>
        <v>773741.17996632576</v>
      </c>
      <c r="AC19" s="144">
        <f>'TT $ Benefits '!V6/AC7</f>
        <v>730800.90852793923</v>
      </c>
      <c r="AD19" s="144">
        <f>'TT $ Benefits '!W6/AD7</f>
        <v>690243.6909568453</v>
      </c>
      <c r="AE19" s="144">
        <f>'TT $ Benefits '!X6/AE7</f>
        <v>651937.27504447184</v>
      </c>
      <c r="AF19" s="144">
        <f>'TT $ Benefits '!Y6/AF7</f>
        <v>615756.7481757456</v>
      </c>
      <c r="AG19" s="144">
        <f>'TT $ Benefits '!Z6/AG7</f>
        <v>581584.13000407803</v>
      </c>
      <c r="AH19" s="144">
        <f>'TT $ Benefits '!AA6/AH7</f>
        <v>549307.98773164558</v>
      </c>
      <c r="AI19" s="144">
        <f>'TT $ Benefits '!AB6/AI7</f>
        <v>518823.07274043711</v>
      </c>
      <c r="AJ19" s="181">
        <f>SUM(K19:AI19)</f>
        <v>27971973.341341272</v>
      </c>
    </row>
    <row r="20" spans="1:36">
      <c r="A20" s="1" t="s">
        <v>18</v>
      </c>
      <c r="B20" s="69">
        <f t="shared" si="33"/>
        <v>5341370.8345555514</v>
      </c>
      <c r="C20" s="69"/>
      <c r="I20" s="136"/>
      <c r="J20" s="144"/>
      <c r="K20" s="144">
        <f>'TT $ Benefits '!D7/K7</f>
        <v>390003.13221311913</v>
      </c>
      <c r="L20" s="144">
        <f>'TT $ Benefits '!E7/L7</f>
        <v>368359.14997117472</v>
      </c>
      <c r="M20" s="144">
        <f>'TT $ Benefits '!F7/M7</f>
        <v>347916.34261372738</v>
      </c>
      <c r="N20" s="144">
        <f>'TT $ Benefits '!G7/N7</f>
        <v>328608.04860469676</v>
      </c>
      <c r="O20" s="144">
        <f>'TT $ Benefits '!H7/O7</f>
        <v>310371.30591958039</v>
      </c>
      <c r="P20" s="144">
        <f>'TT $ Benefits '!I7/P7</f>
        <v>293146.64673386503</v>
      </c>
      <c r="Q20" s="144">
        <f>'TT $ Benefits '!J7/Q7</f>
        <v>276877.90350560262</v>
      </c>
      <c r="R20" s="144">
        <f>'TT $ Benefits '!K7/R7</f>
        <v>261512.02581981188</v>
      </c>
      <c r="S20" s="144">
        <f>'TT $ Benefits '!L7/S7</f>
        <v>246998.90739745548</v>
      </c>
      <c r="T20" s="144">
        <f>'TT $ Benefits '!M7/T7</f>
        <v>233291.22270489045</v>
      </c>
      <c r="U20" s="144">
        <f>'TT $ Benefits '!N7/U7</f>
        <v>220344.27263099488</v>
      </c>
      <c r="V20" s="144">
        <f>'TT $ Benefits '!O7/V7</f>
        <v>208115.83872874276</v>
      </c>
      <c r="W20" s="144">
        <f>'TT $ Benefits '!P7/W7</f>
        <v>196566.04554592597</v>
      </c>
      <c r="X20" s="144">
        <f>'TT $ Benefits '!Q7/X7</f>
        <v>185657.23059610047</v>
      </c>
      <c r="Y20" s="144">
        <f>'TT $ Benefits '!R7/Y7</f>
        <v>175353.82154574769</v>
      </c>
      <c r="Z20" s="144">
        <f>'TT $ Benefits '!S7/Z7</f>
        <v>165622.2202171736</v>
      </c>
      <c r="AA20" s="144">
        <f>'TT $ Benefits '!T7/AA7</f>
        <v>156430.6930288919</v>
      </c>
      <c r="AB20" s="144">
        <f>'TT $ Benefits '!U7/AB7</f>
        <v>147749.2675162316</v>
      </c>
      <c r="AC20" s="144">
        <f>'TT $ Benefits '!V7/AC7</f>
        <v>139549.63459473467</v>
      </c>
      <c r="AD20" s="144">
        <f>'TT $ Benefits '!W7/AD7</f>
        <v>131805.0562476363</v>
      </c>
      <c r="AE20" s="144">
        <f>'TT $ Benefits '!X7/AE7</f>
        <v>124490.27833640811</v>
      </c>
      <c r="AF20" s="144">
        <f>'TT $ Benefits '!Y7/AF7</f>
        <v>117581.44825004994</v>
      </c>
      <c r="AG20" s="144">
        <f>'TT $ Benefits '!Z7/AG7</f>
        <v>111056.03712459392</v>
      </c>
      <c r="AH20" s="144">
        <f>'TT $ Benefits '!AA7/AH7</f>
        <v>104892.76637918894</v>
      </c>
      <c r="AI20" s="144">
        <f>'TT $ Benefits '!AB7/AI7</f>
        <v>99071.538329207586</v>
      </c>
      <c r="AJ20" s="181">
        <f>SUM(K20:AI20)</f>
        <v>5341370.8345555514</v>
      </c>
    </row>
    <row r="21" spans="1:36">
      <c r="A21" t="s">
        <v>233</v>
      </c>
      <c r="B21" s="69">
        <f t="shared" si="33"/>
        <v>397523.19208536623</v>
      </c>
      <c r="C21" s="69"/>
      <c r="I21" s="136"/>
      <c r="J21" s="136"/>
      <c r="K21" s="144">
        <f>'Fuel Savings $ Benefits '!D16/K7</f>
        <v>33992.609761451778</v>
      </c>
      <c r="L21" s="144">
        <f>'Fuel Savings $ Benefits '!E16/L7</f>
        <v>31592.109482040876</v>
      </c>
      <c r="M21" s="144">
        <f>'Fuel Savings $ Benefits '!F16/M7</f>
        <v>29353.355856757462</v>
      </c>
      <c r="N21" s="144">
        <f>'Fuel Savings $ Benefits '!G16/N7</f>
        <v>27265.78932227187</v>
      </c>
      <c r="O21" s="144">
        <f>'Fuel Savings $ Benefits '!H16/O7</f>
        <v>25319.524196980186</v>
      </c>
      <c r="P21" s="144">
        <f>'Fuel Savings $ Benefits '!I16/P7</f>
        <v>23505.306406764226</v>
      </c>
      <c r="Q21" s="144">
        <f>'Fuel Savings $ Benefits '!J16/Q7</f>
        <v>21814.473827438811</v>
      </c>
      <c r="R21" s="144">
        <f>'Fuel Savings $ Benefits '!K16/R7</f>
        <v>20238.919083649525</v>
      </c>
      <c r="S21" s="144">
        <f>'Fuel Savings $ Benefits '!L16/S7</f>
        <v>18771.054653712799</v>
      </c>
      <c r="T21" s="144">
        <f>'Fuel Savings $ Benefits '!M16/T7</f>
        <v>17403.780139028811</v>
      </c>
      <c r="U21" s="144">
        <f>'Fuel Savings $ Benefits '!N16/U7</f>
        <v>16130.451565286097</v>
      </c>
      <c r="V21" s="144">
        <f>'Fuel Savings $ Benefits '!O16/V7</f>
        <v>14944.852590749504</v>
      </c>
      <c r="W21" s="144">
        <f>'Fuel Savings $ Benefits '!P16/W7</f>
        <v>13841.167504505971</v>
      </c>
      <c r="X21" s="144">
        <f>'Fuel Savings $ Benefits '!Q16/X7</f>
        <v>12813.955904669972</v>
      </c>
      <c r="Y21" s="144">
        <f>'Fuel Savings $ Benefits '!R16/Y7</f>
        <v>11858.12895324596</v>
      </c>
      <c r="Z21" s="144">
        <f>'Fuel Savings $ Benefits '!S16/Z7</f>
        <v>10968.927110637836</v>
      </c>
      <c r="AA21" s="144">
        <f>'Fuel Savings $ Benefits '!T16/AA7</f>
        <v>10141.899258706319</v>
      </c>
      <c r="AB21" s="144">
        <f>'Fuel Savings $ Benefits '!U16/AB7</f>
        <v>9372.8831268295489</v>
      </c>
      <c r="AC21" s="144">
        <f>'Fuel Savings $ Benefits '!V16/AC7</f>
        <v>8657.9869406408579</v>
      </c>
      <c r="AD21" s="144">
        <f>'Fuel Savings $ Benefits '!W16/AD7</f>
        <v>7993.5722180199782</v>
      </c>
      <c r="AE21" s="144">
        <f>'Fuel Savings $ Benefits '!X16/AE7</f>
        <v>7376.2376415193839</v>
      </c>
      <c r="AF21" s="144">
        <f>'Fuel Savings $ Benefits '!Y16/AF7</f>
        <v>6802.8039407358337</v>
      </c>
      <c r="AG21" s="144">
        <f>'Fuel Savings $ Benefits '!Z16/AG7</f>
        <v>6270.299722199562</v>
      </c>
      <c r="AH21" s="144">
        <f>'Fuel Savings $ Benefits '!AA16/AH7</f>
        <v>5775.9481881746169</v>
      </c>
      <c r="AI21" s="144">
        <f>'Fuel Savings $ Benefits '!AB16/AI7</f>
        <v>5317.1546893484019</v>
      </c>
      <c r="AJ21" s="181">
        <f>SUM(K21:AI21)</f>
        <v>397523.19208536623</v>
      </c>
    </row>
    <row r="22" spans="1:36">
      <c r="A22" t="s">
        <v>19</v>
      </c>
      <c r="B22" s="69">
        <f>SUM(D22:AI22)</f>
        <v>37251619.388032809</v>
      </c>
      <c r="C22" s="69"/>
      <c r="E22" s="242"/>
      <c r="F22" s="242"/>
      <c r="G22" s="242"/>
      <c r="H22" s="242"/>
      <c r="I22" s="242"/>
      <c r="J22" s="242"/>
      <c r="K22" s="282">
        <f>'Crash Reduction $ Benefit'!L39/K7</f>
        <v>2719947.498749658</v>
      </c>
      <c r="L22" s="282">
        <f>'Crash Reduction $ Benefit'!M39/L7</f>
        <v>2568998.7229593433</v>
      </c>
      <c r="M22" s="282">
        <f>'Crash Reduction $ Benefit'!N39/M7</f>
        <v>2426427.1430241205</v>
      </c>
      <c r="N22" s="282">
        <f>'Crash Reduction $ Benefit'!O39/N7</f>
        <v>2291767.8501692945</v>
      </c>
      <c r="O22" s="282">
        <f>'Crash Reduction $ Benefit'!P39/O7</f>
        <v>2164581.7366367048</v>
      </c>
      <c r="P22" s="282">
        <f>'Crash Reduction $ Benefit'!Q39/P7</f>
        <v>2044454.0638071429</v>
      </c>
      <c r="Q22" s="282">
        <f>'Crash Reduction $ Benefit'!R39/Q7</f>
        <v>1930993.1097875941</v>
      </c>
      <c r="R22" s="282">
        <f>'Crash Reduction $ Benefit'!S39/R7</f>
        <v>1823828.8920532577</v>
      </c>
      <c r="S22" s="282">
        <f>'Crash Reduction $ Benefit'!T39/S7</f>
        <v>1722611.9609790361</v>
      </c>
      <c r="T22" s="282">
        <f>'Crash Reduction $ Benefit'!U39/T7</f>
        <v>1627012.2603263322</v>
      </c>
      <c r="U22" s="282">
        <f>'Crash Reduction $ Benefit'!V39/U7</f>
        <v>1536718.0509693529</v>
      </c>
      <c r="V22" s="282">
        <f>'Crash Reduction $ Benefit'!W39/V7</f>
        <v>1451434.8943513171</v>
      </c>
      <c r="W22" s="282">
        <f>'Crash Reduction $ Benefit'!X39/W7</f>
        <v>1370884.6923557299</v>
      </c>
      <c r="X22" s="282">
        <f>'Crash Reduction $ Benefit'!Y39/X7</f>
        <v>1294804.7804618769</v>
      </c>
      <c r="Y22" s="282">
        <f>'Crash Reduction $ Benefit'!Z39/Y7</f>
        <v>1222947.0712274103</v>
      </c>
      <c r="Z22" s="282">
        <f>'Crash Reduction $ Benefit'!AA39/Z7</f>
        <v>1155077.2453050388</v>
      </c>
      <c r="AA22" s="282">
        <f>'Crash Reduction $ Benefit'!AB39/AA7</f>
        <v>1090973.9873553189</v>
      </c>
      <c r="AB22" s="282">
        <f>'Crash Reduction $ Benefit'!AC39/AB7</f>
        <v>1030428.2643639497</v>
      </c>
      <c r="AC22" s="282">
        <f>'Crash Reduction $ Benefit'!AD39/AC7</f>
        <v>973242.64401025581</v>
      </c>
      <c r="AD22" s="282">
        <f>'Crash Reduction $ Benefit'!AE39/AD7</f>
        <v>919230.65086413431</v>
      </c>
      <c r="AE22" s="282">
        <f>'Crash Reduction $ Benefit'!AF39/AE7</f>
        <v>868216.15831210464</v>
      </c>
      <c r="AF22" s="282">
        <f>'Crash Reduction $ Benefit'!AG39/AF7</f>
        <v>820032.81422960758</v>
      </c>
      <c r="AG22" s="282">
        <f>'Crash Reduction $ Benefit'!AH39/AG7</f>
        <v>774523.49852673151</v>
      </c>
      <c r="AH22" s="282">
        <f>'Crash Reduction $ Benefit'!AI39/AH7</f>
        <v>731539.81079849927</v>
      </c>
      <c r="AI22" s="282">
        <f>'Crash Reduction $ Benefit'!AJ39/AI7</f>
        <v>690941.58640899381</v>
      </c>
      <c r="AJ22" s="181">
        <f>SUM(K22:AI22)</f>
        <v>37251619.388032809</v>
      </c>
    </row>
    <row r="23" spans="1:36">
      <c r="A23" t="s">
        <v>20</v>
      </c>
      <c r="B23" s="69"/>
      <c r="C23" s="69"/>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row>
    <row r="24" spans="1:36">
      <c r="A24" s="1" t="s">
        <v>21</v>
      </c>
      <c r="B24" s="69">
        <f t="shared" ref="B24:B26" si="34">SUM(D24:AI24)</f>
        <v>1164423.8895578396</v>
      </c>
      <c r="C24" s="69"/>
      <c r="I24" s="136"/>
      <c r="J24" s="144"/>
      <c r="K24" s="144">
        <f>'Emission $ Benefits'!C18/K8</f>
        <v>57981.211631598773</v>
      </c>
      <c r="L24" s="144">
        <f>'Emission $ Benefits'!D18/L8</f>
        <v>57947.374870997504</v>
      </c>
      <c r="M24" s="144">
        <f>'Emission $ Benefits'!E18/M8</f>
        <v>56902.289941364623</v>
      </c>
      <c r="N24" s="144">
        <f>'Emission $ Benefits'!F18/N8</f>
        <v>55846.991045622402</v>
      </c>
      <c r="O24" s="144">
        <f>'Emission $ Benefits'!G18/O8</f>
        <v>54782.778833679433</v>
      </c>
      <c r="P24" s="144">
        <f>'Emission $ Benefits'!H18/P8</f>
        <v>53710.898344874513</v>
      </c>
      <c r="Q24" s="144">
        <f>'Emission $ Benefits'!I18/Q8</f>
        <v>52632.54083370795</v>
      </c>
      <c r="R24" s="144">
        <f>'Emission $ Benefits'!J18/R8</f>
        <v>51548.845542914023</v>
      </c>
      <c r="S24" s="144">
        <f>'Emission $ Benefits'!K18/S8</f>
        <v>50460.901425278884</v>
      </c>
      <c r="T24" s="144">
        <f>'Emission $ Benefits'!L18/T8</f>
        <v>50095.774533447729</v>
      </c>
      <c r="U24" s="144">
        <f>'Emission $ Benefits'!M18/U8</f>
        <v>48976.038750356522</v>
      </c>
      <c r="V24" s="144">
        <f>'Emission $ Benefits'!N18/V8</f>
        <v>47855.771005691888</v>
      </c>
      <c r="W24" s="144">
        <f>'Emission $ Benefits'!O18/W8</f>
        <v>46735.856997866402</v>
      </c>
      <c r="X24" s="144">
        <f>'Emission $ Benefits'!P18/X8</f>
        <v>45617.14045197887</v>
      </c>
      <c r="Y24" s="144">
        <f>'Emission $ Benefits'!Q18/Y8</f>
        <v>44500.424551976968</v>
      </c>
      <c r="Z24" s="144">
        <f>'Emission $ Benefits'!R18/Z8</f>
        <v>43386.473330657129</v>
      </c>
      <c r="AA24" s="144">
        <f>'Emission $ Benefits'!S18/AA8</f>
        <v>42832.276347833184</v>
      </c>
      <c r="AB24" s="144">
        <f>'Emission $ Benefits'!T18/AB8</f>
        <v>41704.405215167208</v>
      </c>
      <c r="AC24" s="144">
        <f>'Emission $ Benefits'!U18/AC8</f>
        <v>40581.984860552067</v>
      </c>
      <c r="AD24" s="144">
        <f>'Emission $ Benefits'!V18/AD8</f>
        <v>39465.620285059857</v>
      </c>
      <c r="AE24" s="144">
        <f>'Emission $ Benefits'!W18/AE8</f>
        <v>38355.884061239376</v>
      </c>
      <c r="AF24" s="144">
        <f>'Emission $ Benefits'!X18/AF8</f>
        <v>37253.317484771222</v>
      </c>
      <c r="AG24" s="144">
        <f>'Emission $ Benefits'!Y18/AG8</f>
        <v>36594.075446846422</v>
      </c>
      <c r="AH24" s="144">
        <f>'Emission $ Benefits'!Z18/AH8</f>
        <v>35489.22908313098</v>
      </c>
      <c r="AI24" s="144">
        <f>'Emission $ Benefits'!AA18/AI8</f>
        <v>33165.784681225334</v>
      </c>
      <c r="AJ24" s="181">
        <f>SUM(K24:AI24)</f>
        <v>1164423.8895578396</v>
      </c>
    </row>
    <row r="25" spans="1:36">
      <c r="A25" s="1" t="s">
        <v>22</v>
      </c>
      <c r="B25" s="69">
        <f t="shared" si="34"/>
        <v>79723.117718416019</v>
      </c>
      <c r="C25" s="69"/>
      <c r="I25" s="136"/>
      <c r="J25" s="144"/>
      <c r="K25" s="144">
        <f>('Emission $ Benefits'!C16+'Emission $ Benefits'!C17+'Emission $ Benefits'!C19)/K7</f>
        <v>6489.7046657481096</v>
      </c>
      <c r="L25" s="144">
        <f>('Emission $ Benefits'!D16+'Emission $ Benefits'!D17+'Emission $ Benefits'!D19)/L7</f>
        <v>6135.2781794037801</v>
      </c>
      <c r="M25" s="144">
        <f>('Emission $ Benefits'!E16+'Emission $ Benefits'!E17+'Emission $ Benefits'!E19)/M7</f>
        <v>5798.5144193696051</v>
      </c>
      <c r="N25" s="144">
        <f>('Emission $ Benefits'!F16+'Emission $ Benefits'!F17+'Emission $ Benefits'!F19)/N7</f>
        <v>5488.9467777474783</v>
      </c>
      <c r="O25" s="144">
        <f>('Emission $ Benefits'!G16+'Emission $ Benefits'!G17+'Emission $ Benefits'!G19)/O7</f>
        <v>5100.7951893488371</v>
      </c>
      <c r="P25" s="144">
        <f>('Emission $ Benefits'!H16+'Emission $ Benefits'!H17+'Emission $ Benefits'!H19)/P7</f>
        <v>4738.8205885637626</v>
      </c>
      <c r="Q25" s="144">
        <f>('Emission $ Benefits'!I16+'Emission $ Benefits'!I17+'Emission $ Benefits'!I19)/Q7</f>
        <v>4401.3129620214222</v>
      </c>
      <c r="R25" s="144">
        <f>('Emission $ Benefits'!J16+'Emission $ Benefits'!J17+'Emission $ Benefits'!J19)/R7</f>
        <v>4086.6714745971958</v>
      </c>
      <c r="S25" s="144">
        <f>('Emission $ Benefits'!K16+'Emission $ Benefits'!K17+'Emission $ Benefits'!K19)/S7</f>
        <v>3793.3976179832589</v>
      </c>
      <c r="T25" s="144">
        <f>('Emission $ Benefits'!L16+'Emission $ Benefits'!L17+'Emission $ Benefits'!L19)/T7</f>
        <v>3520.0887834666969</v>
      </c>
      <c r="U25" s="144">
        <f>('Emission $ Benefits'!M16+'Emission $ Benefits'!M17+'Emission $ Benefits'!M19)/U7</f>
        <v>3265.4322329325055</v>
      </c>
      <c r="V25" s="144">
        <f>('Emission $ Benefits'!N16+'Emission $ Benefits'!N17+'Emission $ Benefits'!N19)/V7</f>
        <v>3028.199443686211</v>
      </c>
      <c r="W25" s="144">
        <f>('Emission $ Benefits'!O16+'Emission $ Benefits'!O17+'Emission $ Benefits'!O19)/W7</f>
        <v>2807.2408041731896</v>
      </c>
      <c r="X25" s="144">
        <f>('Emission $ Benefits'!P16+'Emission $ Benefits'!P17+'Emission $ Benefits'!P19)/X7</f>
        <v>2601.4806390647404</v>
      </c>
      <c r="Y25" s="144">
        <f>('Emission $ Benefits'!Q16+'Emission $ Benefits'!Q17+'Emission $ Benefits'!Q19)/Y7</f>
        <v>2409.9125434899292</v>
      </c>
      <c r="Z25" s="144">
        <f>('Emission $ Benefits'!R16+'Emission $ Benefits'!R17+'Emission $ Benefits'!R19)/Z7</f>
        <v>2231.595007422201</v>
      </c>
      <c r="AA25" s="144">
        <f>('Emission $ Benefits'!S16+'Emission $ Benefits'!S17+'Emission $ Benefits'!S19)/AA7</f>
        <v>2065.6473123855017</v>
      </c>
      <c r="AB25" s="144">
        <f>('Emission $ Benefits'!T16+'Emission $ Benefits'!T17+'Emission $ Benefits'!T19)/AB7</f>
        <v>1911.245683730614</v>
      </c>
      <c r="AC25" s="144">
        <f>('Emission $ Benefits'!U16+'Emission $ Benefits'!U17+'Emission $ Benefits'!U19)/AC7</f>
        <v>1767.6196827527488</v>
      </c>
      <c r="AD25" s="144">
        <f>('Emission $ Benefits'!V16+'Emission $ Benefits'!V17+'Emission $ Benefits'!V19)/AD7</f>
        <v>1634.048823880124</v>
      </c>
      <c r="AE25" s="144">
        <f>('Emission $ Benefits'!W16+'Emission $ Benefits'!W17+'Emission $ Benefits'!W19)/AE7</f>
        <v>1509.8594030639924</v>
      </c>
      <c r="AF25" s="144">
        <f>('Emission $ Benefits'!X16+'Emission $ Benefits'!X17+'Emission $ Benefits'!X19)/AF7</f>
        <v>1394.4215243467875</v>
      </c>
      <c r="AG25" s="144">
        <f>('Emission $ Benefits'!Y16+'Emission $ Benefits'!Y17+'Emission $ Benefits'!Y19)/AG7</f>
        <v>1287.1463123801257</v>
      </c>
      <c r="AH25" s="144">
        <f>('Emission $ Benefits'!Z16+'Emission $ Benefits'!Z17+'Emission $ Benefits'!Z19)/AH7</f>
        <v>1187.4832994112517</v>
      </c>
      <c r="AI25" s="144">
        <f>('Emission $ Benefits'!AA16+'Emission $ Benefits'!AA17+'Emission $ Benefits'!AA19)/AI7</f>
        <v>1068.254347445956</v>
      </c>
      <c r="AJ25" s="181">
        <f>SUM(K25:AI25)</f>
        <v>79723.117718416019</v>
      </c>
    </row>
    <row r="26" spans="1:36">
      <c r="A26" s="80" t="s">
        <v>294</v>
      </c>
      <c r="B26" s="69">
        <f t="shared" si="34"/>
        <v>4771319.4491262166</v>
      </c>
      <c r="C26" s="69"/>
      <c r="I26" s="136"/>
      <c r="J26" s="144"/>
      <c r="K26" s="144">
        <f>'Supply Chain $ Benefits'!D6/K7</f>
        <v>348380.51646032842</v>
      </c>
      <c r="L26" s="144">
        <f>'Supply Chain $ Benefits'!E6/L7</f>
        <v>329046.46222102479</v>
      </c>
      <c r="M26" s="144">
        <f>'Supply Chain $ Benefits'!F6/M7</f>
        <v>310785.38891970902</v>
      </c>
      <c r="N26" s="144">
        <f>'Supply Chain $ Benefits'!G6/N7</f>
        <v>293537.74939265475</v>
      </c>
      <c r="O26" s="144">
        <f>'Supply Chain $ Benefits'!H6/O7</f>
        <v>277247.30116178474</v>
      </c>
      <c r="P26" s="144">
        <f>'Supply Chain $ Benefits'!I6/P7</f>
        <v>261860.92303471494</v>
      </c>
      <c r="Q26" s="144">
        <f>'Supply Chain $ Benefits'!J6/Q7</f>
        <v>247328.44188293442</v>
      </c>
      <c r="R26" s="144">
        <f>'Supply Chain $ Benefits'!K6/R7</f>
        <v>233602.46903326831</v>
      </c>
      <c r="S26" s="144">
        <f>'Supply Chain $ Benefits'!L6/S7</f>
        <v>220638.24573911403</v>
      </c>
      <c r="T26" s="144">
        <f>'Supply Chain $ Benefits'!M6/T7</f>
        <v>208393.49722755197</v>
      </c>
      <c r="U26" s="144">
        <f>'Supply Chain $ Benefits'!N6/U7</f>
        <v>196828.29484639503</v>
      </c>
      <c r="V26" s="144">
        <f>'Supply Chain $ Benefits'!O6/V7</f>
        <v>185904.92586165675</v>
      </c>
      <c r="W26" s="144">
        <f>'Supply Chain $ Benefits'!P6/W7</f>
        <v>175587.77048086122</v>
      </c>
      <c r="X26" s="144">
        <f>'Supply Chain $ Benefits'!Q6/X7</f>
        <v>165843.18570118406</v>
      </c>
      <c r="Y26" s="144">
        <f>'Supply Chain $ Benefits'!R6/Y7</f>
        <v>156639.39560366658</v>
      </c>
      <c r="Z26" s="144">
        <f>'Supply Chain $ Benefits'!S6/Z7</f>
        <v>147946.3877357656</v>
      </c>
      <c r="AA26" s="144">
        <f>'Supply Chain $ Benefits'!T6/AA7</f>
        <v>139735.8152443557</v>
      </c>
      <c r="AB26" s="144">
        <f>'Supply Chain $ Benefits'!U6/AB7</f>
        <v>131980.90444005033</v>
      </c>
      <c r="AC26" s="144">
        <f>'Supply Chain $ Benefits'!V6/AC7</f>
        <v>124656.36749142088</v>
      </c>
      <c r="AD26" s="144">
        <f>'Supply Chain $ Benefits'!W6/AD7</f>
        <v>117738.3199644199</v>
      </c>
      <c r="AE26" s="144">
        <f>'Supply Chain $ Benefits'!X6/AE7</f>
        <v>111204.20293811422</v>
      </c>
      <c r="AF26" s="144">
        <f>'Supply Chain $ Benefits'!Y6/AF7</f>
        <v>105032.70944275724</v>
      </c>
      <c r="AG26" s="144">
        <f>'Supply Chain $ Benefits'!Z6/AG7</f>
        <v>99203.714980322839</v>
      </c>
      <c r="AH26" s="144">
        <f>'Supply Chain $ Benefits'!AA6/AH7</f>
        <v>93698.211900938113</v>
      </c>
      <c r="AI26" s="144">
        <f>'Supply Chain $ Benefits'!AB6/AI7</f>
        <v>88498.247421223001</v>
      </c>
      <c r="AJ26" s="181">
        <f>SUM(K26:AI26)</f>
        <v>4771319.4491262166</v>
      </c>
    </row>
    <row r="27" spans="1:36" ht="15.75" thickBot="1">
      <c r="A27" s="1"/>
      <c r="B27" s="69"/>
      <c r="C27" s="69"/>
      <c r="I27" s="136"/>
      <c r="J27" s="134"/>
      <c r="K27" s="134"/>
      <c r="L27" s="134"/>
      <c r="M27" s="134"/>
      <c r="N27" s="134"/>
      <c r="O27" s="134"/>
      <c r="P27" s="134"/>
      <c r="Q27" s="134"/>
      <c r="R27" s="134"/>
      <c r="S27" s="134"/>
      <c r="T27" s="134"/>
      <c r="U27" s="134"/>
      <c r="V27" s="134"/>
      <c r="W27" s="134"/>
      <c r="X27" s="134"/>
      <c r="Y27" s="134"/>
      <c r="Z27" s="134"/>
      <c r="AA27" s="134"/>
      <c r="AB27" s="134"/>
      <c r="AC27" s="134"/>
    </row>
    <row r="28" spans="1:36" ht="15.75" hidden="1" thickBot="1">
      <c r="A28" s="80" t="s">
        <v>23</v>
      </c>
      <c r="B28" s="183"/>
      <c r="C28" s="183"/>
      <c r="D28" s="212"/>
      <c r="E28" s="22"/>
      <c r="F28" s="22"/>
      <c r="G28" s="22"/>
      <c r="H28" s="22"/>
      <c r="I28" s="22"/>
      <c r="J28" s="184"/>
      <c r="K28" s="184"/>
      <c r="L28" s="184"/>
      <c r="M28" s="184"/>
      <c r="N28" s="184"/>
      <c r="O28" s="184"/>
      <c r="P28" s="184"/>
      <c r="Q28" s="184"/>
      <c r="R28" s="184"/>
      <c r="S28" s="184"/>
      <c r="T28" s="184"/>
      <c r="U28" s="184"/>
      <c r="V28" s="184"/>
      <c r="W28" s="184"/>
      <c r="X28" s="184"/>
      <c r="Y28" s="184"/>
      <c r="Z28" s="184"/>
      <c r="AA28" s="184"/>
      <c r="AB28" s="185"/>
    </row>
    <row r="29" spans="1:36" ht="15.75" hidden="1" thickBot="1">
      <c r="A29" s="1" t="s">
        <v>24</v>
      </c>
      <c r="B29" s="186">
        <f>'Truck VMT VHT reductions'!B8</f>
        <v>0</v>
      </c>
      <c r="C29" s="186"/>
      <c r="D29" s="211"/>
      <c r="E29" s="187"/>
      <c r="F29" s="22"/>
      <c r="G29" s="22"/>
      <c r="H29" s="188">
        <f>'Truck VMT VHT reductions'!B12</f>
        <v>0</v>
      </c>
      <c r="I29" s="188">
        <f>H29</f>
        <v>0</v>
      </c>
      <c r="J29" s="188"/>
      <c r="K29" s="188">
        <f t="shared" ref="K29:AA29" si="35">J29</f>
        <v>0</v>
      </c>
      <c r="L29" s="188">
        <f t="shared" si="35"/>
        <v>0</v>
      </c>
      <c r="M29" s="188">
        <f t="shared" si="35"/>
        <v>0</v>
      </c>
      <c r="N29" s="188">
        <f t="shared" si="35"/>
        <v>0</v>
      </c>
      <c r="O29" s="188">
        <f t="shared" si="35"/>
        <v>0</v>
      </c>
      <c r="P29" s="188">
        <f t="shared" si="35"/>
        <v>0</v>
      </c>
      <c r="Q29" s="188">
        <f t="shared" si="35"/>
        <v>0</v>
      </c>
      <c r="R29" s="188">
        <f t="shared" si="35"/>
        <v>0</v>
      </c>
      <c r="S29" s="188">
        <f t="shared" si="35"/>
        <v>0</v>
      </c>
      <c r="T29" s="188">
        <f t="shared" si="35"/>
        <v>0</v>
      </c>
      <c r="U29" s="188">
        <f t="shared" si="35"/>
        <v>0</v>
      </c>
      <c r="V29" s="188">
        <f t="shared" si="35"/>
        <v>0</v>
      </c>
      <c r="W29" s="188">
        <f t="shared" si="35"/>
        <v>0</v>
      </c>
      <c r="X29" s="188">
        <f t="shared" si="35"/>
        <v>0</v>
      </c>
      <c r="Y29" s="188">
        <f t="shared" si="35"/>
        <v>0</v>
      </c>
      <c r="Z29" s="188">
        <f t="shared" si="35"/>
        <v>0</v>
      </c>
      <c r="AA29" s="188">
        <f t="shared" si="35"/>
        <v>0</v>
      </c>
      <c r="AB29" s="185"/>
    </row>
    <row r="30" spans="1:36" ht="15.75" hidden="1" thickBot="1">
      <c r="A30" s="1" t="s">
        <v>25</v>
      </c>
      <c r="B30" s="183" t="e">
        <f>SUM(D30:AA30)</f>
        <v>#REF!</v>
      </c>
      <c r="C30" s="183"/>
      <c r="D30" s="212" t="s">
        <v>4</v>
      </c>
      <c r="E30" s="22" t="s">
        <v>4</v>
      </c>
      <c r="F30" s="22" t="s">
        <v>4</v>
      </c>
      <c r="G30" s="22" t="s">
        <v>4</v>
      </c>
      <c r="H30" s="65" t="e">
        <f>Emissions!E11/H8</f>
        <v>#REF!</v>
      </c>
      <c r="I30" s="65" t="e">
        <f>Emissions!F11/I8</f>
        <v>#REF!</v>
      </c>
      <c r="J30" s="65"/>
      <c r="K30" s="65" t="e">
        <f>Emissions!H11/K8</f>
        <v>#REF!</v>
      </c>
      <c r="L30" s="65" t="e">
        <f>Emissions!I11/L8</f>
        <v>#REF!</v>
      </c>
      <c r="M30" s="65" t="e">
        <f>Emissions!J11/M8</f>
        <v>#REF!</v>
      </c>
      <c r="N30" s="65" t="e">
        <f>Emissions!K11/N8</f>
        <v>#REF!</v>
      </c>
      <c r="O30" s="65" t="e">
        <f>Emissions!L11/O8</f>
        <v>#REF!</v>
      </c>
      <c r="P30" s="65" t="e">
        <f>Emissions!M11/P8</f>
        <v>#REF!</v>
      </c>
      <c r="Q30" s="65" t="e">
        <f>Emissions!N11/Q8</f>
        <v>#REF!</v>
      </c>
      <c r="R30" s="65" t="e">
        <f>Emissions!O11/R8</f>
        <v>#REF!</v>
      </c>
      <c r="S30" s="65" t="e">
        <f>Emissions!P11/S8</f>
        <v>#REF!</v>
      </c>
      <c r="T30" s="65" t="e">
        <f>Emissions!Q11/T8</f>
        <v>#REF!</v>
      </c>
      <c r="U30" s="65" t="e">
        <f>Emissions!R11/U8</f>
        <v>#REF!</v>
      </c>
      <c r="V30" s="65" t="e">
        <f>Emissions!S11/V8</f>
        <v>#REF!</v>
      </c>
      <c r="W30" s="65" t="e">
        <f>Emissions!T11/W8</f>
        <v>#REF!</v>
      </c>
      <c r="X30" s="65" t="e">
        <f>Emissions!U11/X8</f>
        <v>#REF!</v>
      </c>
      <c r="Y30" s="65" t="e">
        <f>Emissions!V11/Y8</f>
        <v>#REF!</v>
      </c>
      <c r="Z30" s="65" t="e">
        <f>Emissions!W11/Z8</f>
        <v>#REF!</v>
      </c>
      <c r="AA30" s="65" t="e">
        <f>Emissions!X11/AA8</f>
        <v>#REF!</v>
      </c>
      <c r="AB30" s="185"/>
    </row>
    <row r="31" spans="1:36" ht="15.75" hidden="1" thickBot="1">
      <c r="A31" s="1" t="s">
        <v>26</v>
      </c>
      <c r="B31" s="183" t="e">
        <f>SUM(D31:AA31)</f>
        <v>#REF!</v>
      </c>
      <c r="C31" s="183"/>
      <c r="D31" s="212" t="s">
        <v>4</v>
      </c>
      <c r="E31" s="22" t="s">
        <v>4</v>
      </c>
      <c r="F31" s="22" t="s">
        <v>4</v>
      </c>
      <c r="G31" s="22" t="s">
        <v>4</v>
      </c>
      <c r="H31" s="65" t="e">
        <f>Emissions!E13/Results!H7</f>
        <v>#REF!</v>
      </c>
      <c r="I31" s="65" t="e">
        <f>Emissions!F13/Results!I7</f>
        <v>#REF!</v>
      </c>
      <c r="J31" s="65"/>
      <c r="K31" s="65" t="e">
        <f>Emissions!H13/Results!K7</f>
        <v>#REF!</v>
      </c>
      <c r="L31" s="65" t="e">
        <f>Emissions!I13/Results!L7</f>
        <v>#REF!</v>
      </c>
      <c r="M31" s="65" t="e">
        <f>Emissions!J13/Results!M7</f>
        <v>#REF!</v>
      </c>
      <c r="N31" s="65" t="e">
        <f>Emissions!K13/Results!N7</f>
        <v>#REF!</v>
      </c>
      <c r="O31" s="65" t="e">
        <f>Emissions!L13/Results!O7</f>
        <v>#REF!</v>
      </c>
      <c r="P31" s="65" t="e">
        <f>Emissions!M13/Results!P7</f>
        <v>#REF!</v>
      </c>
      <c r="Q31" s="65" t="e">
        <f>Emissions!N13/Results!Q7</f>
        <v>#REF!</v>
      </c>
      <c r="R31" s="65" t="e">
        <f>Emissions!O13/Results!R7</f>
        <v>#REF!</v>
      </c>
      <c r="S31" s="65" t="e">
        <f>Emissions!P13/Results!S7</f>
        <v>#REF!</v>
      </c>
      <c r="T31" s="65" t="e">
        <f>Emissions!Q13/Results!T7</f>
        <v>#REF!</v>
      </c>
      <c r="U31" s="65" t="e">
        <f>Emissions!R13/Results!U7</f>
        <v>#REF!</v>
      </c>
      <c r="V31" s="65" t="e">
        <f>Emissions!S13/Results!V7</f>
        <v>#REF!</v>
      </c>
      <c r="W31" s="65" t="e">
        <f>Emissions!T13/Results!W7</f>
        <v>#REF!</v>
      </c>
      <c r="X31" s="65" t="e">
        <f>Emissions!U13/Results!X7</f>
        <v>#REF!</v>
      </c>
      <c r="Y31" s="65" t="e">
        <f>Emissions!V13/Results!Y7</f>
        <v>#REF!</v>
      </c>
      <c r="Z31" s="65" t="e">
        <f>Emissions!W13/Results!Z7</f>
        <v>#REF!</v>
      </c>
      <c r="AA31" s="65" t="e">
        <f>Emissions!X13/Results!AA7</f>
        <v>#REF!</v>
      </c>
      <c r="AB31" s="185"/>
    </row>
    <row r="32" spans="1:36" ht="15.75" hidden="1" thickBot="1">
      <c r="A32" s="1" t="s">
        <v>27</v>
      </c>
      <c r="B32" s="183">
        <f>SUM(D32:AA32)</f>
        <v>0</v>
      </c>
      <c r="C32" s="183"/>
      <c r="D32" s="212" t="s">
        <v>4</v>
      </c>
      <c r="E32" s="22" t="s">
        <v>4</v>
      </c>
      <c r="F32" s="22" t="s">
        <v>4</v>
      </c>
      <c r="G32" s="22" t="s">
        <v>4</v>
      </c>
      <c r="H32" s="22">
        <f>'Crash Reduction'!B40/Results!H7</f>
        <v>0</v>
      </c>
      <c r="I32" s="22">
        <f>'Crash Reduction'!C40/Results!I7</f>
        <v>0</v>
      </c>
      <c r="J32" s="22"/>
      <c r="K32" s="22">
        <f>'Crash Reduction'!E40/Results!K7</f>
        <v>0</v>
      </c>
      <c r="L32" s="22">
        <f>'Crash Reduction'!F40/Results!L7</f>
        <v>0</v>
      </c>
      <c r="M32" s="22">
        <f>'Crash Reduction'!G40/Results!M7</f>
        <v>0</v>
      </c>
      <c r="N32" s="22">
        <f>'Crash Reduction'!H40/Results!N7</f>
        <v>0</v>
      </c>
      <c r="O32" s="22">
        <f>'Crash Reduction'!I40/Results!O7</f>
        <v>0</v>
      </c>
      <c r="P32" s="22">
        <f>'Crash Reduction'!J40/Results!P7</f>
        <v>0</v>
      </c>
      <c r="Q32" s="22">
        <f>'Crash Reduction'!K40/Results!Q7</f>
        <v>0</v>
      </c>
      <c r="R32" s="22">
        <f>'Crash Reduction'!L40/Results!R7</f>
        <v>0</v>
      </c>
      <c r="S32" s="22">
        <f>'Crash Reduction'!M40/Results!S7</f>
        <v>0</v>
      </c>
      <c r="T32" s="22">
        <f>'Crash Reduction'!N40/Results!T7</f>
        <v>0</v>
      </c>
      <c r="U32" s="22">
        <f>'Crash Reduction'!O40/Results!U7</f>
        <v>0</v>
      </c>
      <c r="V32" s="22">
        <f>'Crash Reduction'!P40/Results!V7</f>
        <v>0</v>
      </c>
      <c r="W32" s="22">
        <f>'Crash Reduction'!Q40/Results!W7</f>
        <v>0</v>
      </c>
      <c r="X32" s="22">
        <f>'Crash Reduction'!R40/Results!X7</f>
        <v>0</v>
      </c>
      <c r="Y32" s="22">
        <f>'Crash Reduction'!S40/Results!Y7</f>
        <v>0</v>
      </c>
      <c r="Z32" s="22">
        <f>'Crash Reduction'!T40/Results!Z7</f>
        <v>0</v>
      </c>
      <c r="AA32" s="22">
        <f>'Crash Reduction'!U40/Results!AA7</f>
        <v>0</v>
      </c>
      <c r="AB32" s="185"/>
    </row>
    <row r="33" spans="1:36" ht="15.75" hidden="1" thickBot="1">
      <c r="A33" s="1" t="s">
        <v>28</v>
      </c>
      <c r="B33" s="183">
        <f>SUM(D33:AA33)</f>
        <v>0</v>
      </c>
      <c r="C33" s="183"/>
      <c r="D33" s="212"/>
      <c r="E33" s="22"/>
      <c r="F33" s="22"/>
      <c r="G33" s="22"/>
      <c r="H33" s="22">
        <f>'Reduced Pavement Damage'!B6/H7</f>
        <v>0</v>
      </c>
      <c r="I33" s="22">
        <f>'Reduced Pavement Damage'!C6/I7</f>
        <v>0</v>
      </c>
      <c r="J33" s="22"/>
      <c r="K33" s="22">
        <f>'Reduced Pavement Damage'!E6/K7</f>
        <v>0</v>
      </c>
      <c r="L33" s="22">
        <f>'Reduced Pavement Damage'!F6/L7</f>
        <v>0</v>
      </c>
      <c r="M33" s="22">
        <f>'Reduced Pavement Damage'!G6/M7</f>
        <v>0</v>
      </c>
      <c r="N33" s="22">
        <f>'Reduced Pavement Damage'!H6/N7</f>
        <v>0</v>
      </c>
      <c r="O33" s="22">
        <f>'Reduced Pavement Damage'!I6/O7</f>
        <v>0</v>
      </c>
      <c r="P33" s="22">
        <f>'Reduced Pavement Damage'!J6/P7</f>
        <v>0</v>
      </c>
      <c r="Q33" s="22">
        <f>'Reduced Pavement Damage'!K6/Q7</f>
        <v>0</v>
      </c>
      <c r="R33" s="22">
        <f>'Reduced Pavement Damage'!L6/R7</f>
        <v>0</v>
      </c>
      <c r="S33" s="22">
        <f>'Reduced Pavement Damage'!M6/S7</f>
        <v>0</v>
      </c>
      <c r="T33" s="22">
        <f>'Reduced Pavement Damage'!N6/T7</f>
        <v>0</v>
      </c>
      <c r="U33" s="22">
        <f>'Reduced Pavement Damage'!O6/U7</f>
        <v>0</v>
      </c>
      <c r="V33" s="22">
        <f>'Reduced Pavement Damage'!P6/V7</f>
        <v>0</v>
      </c>
      <c r="W33" s="22">
        <f>'Reduced Pavement Damage'!Q6/W7</f>
        <v>0</v>
      </c>
      <c r="X33" s="22">
        <f>'Reduced Pavement Damage'!R6/X7</f>
        <v>0</v>
      </c>
      <c r="Y33" s="22">
        <f>'Reduced Pavement Damage'!S6/Y7</f>
        <v>0</v>
      </c>
      <c r="Z33" s="22">
        <f>'Reduced Pavement Damage'!T6/Z7</f>
        <v>0</v>
      </c>
      <c r="AA33" s="22">
        <f>'Reduced Pavement Damage'!U6/AA7</f>
        <v>0</v>
      </c>
      <c r="AB33" s="185"/>
    </row>
    <row r="34" spans="1:36" ht="15.75" hidden="1" thickBot="1">
      <c r="A34" t="s">
        <v>29</v>
      </c>
      <c r="B34" s="183" t="e">
        <f>SUM(B30:B33)</f>
        <v>#REF!</v>
      </c>
      <c r="C34" s="183"/>
      <c r="D34" s="189" t="s">
        <v>30</v>
      </c>
      <c r="E34" s="189"/>
      <c r="F34" s="189"/>
      <c r="G34" s="189"/>
      <c r="H34" s="189"/>
      <c r="I34" s="189"/>
      <c r="J34" s="189"/>
      <c r="K34" s="22"/>
      <c r="L34" s="22"/>
      <c r="M34" s="22"/>
      <c r="N34" s="22"/>
      <c r="O34" s="22"/>
      <c r="P34" s="22"/>
      <c r="Q34" s="22"/>
      <c r="R34" s="22"/>
      <c r="S34" s="22"/>
      <c r="T34" s="22"/>
      <c r="U34" s="22"/>
      <c r="V34" s="22"/>
      <c r="W34" s="22"/>
      <c r="X34" s="22"/>
      <c r="Y34" s="22"/>
      <c r="Z34" s="22"/>
      <c r="AA34" s="22"/>
    </row>
    <row r="35" spans="1:36" ht="15.75" hidden="1" thickBot="1">
      <c r="A35" s="80"/>
      <c r="B35" s="190"/>
      <c r="C35" s="190"/>
      <c r="D35" s="189"/>
      <c r="E35" s="189"/>
      <c r="F35" s="189"/>
      <c r="G35" s="189"/>
      <c r="H35" s="189"/>
      <c r="I35" s="189"/>
      <c r="J35" s="189"/>
      <c r="K35" s="22"/>
      <c r="L35" s="22"/>
      <c r="M35" s="22"/>
      <c r="N35" s="22"/>
      <c r="O35" s="22"/>
      <c r="P35" s="22"/>
      <c r="Q35" s="22"/>
      <c r="R35" s="22"/>
      <c r="S35" s="22"/>
      <c r="T35" s="22"/>
      <c r="U35" s="22"/>
      <c r="V35" s="22"/>
      <c r="W35" s="22"/>
      <c r="X35" s="22"/>
      <c r="Y35" s="22"/>
      <c r="Z35" s="22"/>
      <c r="AA35" s="22"/>
    </row>
    <row r="36" spans="1:36" ht="15.75" thickBot="1">
      <c r="A36" s="191" t="s">
        <v>31</v>
      </c>
      <c r="B36" s="192">
        <f>SUM(B17:B27)</f>
        <v>82811324.041840658</v>
      </c>
      <c r="C36" s="70"/>
      <c r="K36" s="400">
        <f t="shared" ref="K36:AI36" si="36">SUM(K17:K27)</f>
        <v>5599183.7071601283</v>
      </c>
      <c r="L36" s="400">
        <f t="shared" si="36"/>
        <v>5291121.7802054258</v>
      </c>
      <c r="M36" s="400">
        <f t="shared" si="36"/>
        <v>4999169.7423161883</v>
      </c>
      <c r="N36" s="400">
        <f t="shared" si="36"/>
        <v>4723387.3873911109</v>
      </c>
      <c r="O36" s="400">
        <f t="shared" si="36"/>
        <v>4462772.3152120067</v>
      </c>
      <c r="P36" s="400">
        <f t="shared" si="36"/>
        <v>4216582.5257931612</v>
      </c>
      <c r="Q36" s="400">
        <f t="shared" si="36"/>
        <v>3984016.6345331469</v>
      </c>
      <c r="R36" s="400">
        <f t="shared" si="36"/>
        <v>3764317.8336317567</v>
      </c>
      <c r="S36" s="400">
        <f t="shared" si="36"/>
        <v>3556771.4121483946</v>
      </c>
      <c r="T36" s="400">
        <f t="shared" si="36"/>
        <v>3361428.4397251657</v>
      </c>
      <c r="U36" s="400">
        <f t="shared" si="36"/>
        <v>3176173.0839737998</v>
      </c>
      <c r="V36" s="400">
        <f t="shared" si="36"/>
        <v>3001156.5154250464</v>
      </c>
      <c r="W36" s="400">
        <f t="shared" si="36"/>
        <v>2835810.2392161633</v>
      </c>
      <c r="X36" s="400">
        <f t="shared" si="36"/>
        <v>6555882.4222917538</v>
      </c>
      <c r="Y36" s="400">
        <f t="shared" si="36"/>
        <v>2532010.9231960583</v>
      </c>
      <c r="Z36" s="400">
        <f t="shared" si="36"/>
        <v>2392572.0528445449</v>
      </c>
      <c r="AA36" s="400">
        <f t="shared" si="36"/>
        <v>2261384.8468801132</v>
      </c>
      <c r="AB36" s="400">
        <f t="shared" si="36"/>
        <v>2136888.1503122845</v>
      </c>
      <c r="AC36" s="400">
        <f t="shared" si="36"/>
        <v>2019257.146108296</v>
      </c>
      <c r="AD36" s="400">
        <f t="shared" si="36"/>
        <v>1908110.9593599956</v>
      </c>
      <c r="AE36" s="400">
        <f t="shared" si="36"/>
        <v>1803089.8957369218</v>
      </c>
      <c r="AF36" s="400">
        <f t="shared" si="36"/>
        <v>1703854.2630480141</v>
      </c>
      <c r="AG36" s="400">
        <f t="shared" si="36"/>
        <v>1610518.9021171525</v>
      </c>
      <c r="AH36" s="400">
        <f t="shared" si="36"/>
        <v>1403661.0319418581</v>
      </c>
      <c r="AI36" s="400">
        <f t="shared" si="36"/>
        <v>1436885.6386178811</v>
      </c>
      <c r="AJ36" s="181">
        <f>SUM(AJ17:AJ26)</f>
        <v>82811324.041840658</v>
      </c>
    </row>
    <row r="37" spans="1:36" ht="15.75" thickBot="1">
      <c r="A37" s="80"/>
      <c r="B37" s="21"/>
      <c r="C37" s="21"/>
      <c r="K37" s="11"/>
      <c r="L37" s="11"/>
      <c r="M37" s="11"/>
      <c r="N37" s="11"/>
      <c r="O37" s="11"/>
      <c r="P37" s="11"/>
      <c r="Q37" s="11"/>
      <c r="R37" s="11"/>
      <c r="S37" s="11"/>
      <c r="T37" s="11"/>
      <c r="U37" s="11"/>
      <c r="V37" s="11"/>
      <c r="W37" s="11"/>
      <c r="X37" s="11"/>
      <c r="Y37" s="11"/>
      <c r="Z37" s="11"/>
      <c r="AA37" s="11"/>
    </row>
    <row r="38" spans="1:36">
      <c r="A38" s="193" t="s">
        <v>32</v>
      </c>
      <c r="B38" s="194"/>
      <c r="C38" s="21"/>
      <c r="K38" s="11"/>
      <c r="L38" s="11"/>
      <c r="M38" s="11"/>
      <c r="N38" s="11"/>
      <c r="O38" s="11"/>
      <c r="P38" s="11"/>
      <c r="Q38" s="11"/>
      <c r="R38" s="11"/>
      <c r="S38" s="11"/>
      <c r="T38" s="11"/>
      <c r="U38" s="11"/>
      <c r="V38" s="11"/>
      <c r="W38" s="11"/>
      <c r="X38" s="11"/>
      <c r="Y38" s="11"/>
      <c r="Z38" s="11"/>
      <c r="AA38" s="11"/>
    </row>
    <row r="39" spans="1:36">
      <c r="A39" s="76" t="s">
        <v>33</v>
      </c>
      <c r="B39" s="195">
        <f>B36/B14</f>
        <v>1.5880659656239515</v>
      </c>
      <c r="C39" s="315"/>
    </row>
    <row r="40" spans="1:36" ht="15.75" thickBot="1">
      <c r="A40" s="81" t="s">
        <v>34</v>
      </c>
      <c r="B40" s="196">
        <f>B36-B14</f>
        <v>30665301.247816436</v>
      </c>
      <c r="C40" s="316"/>
    </row>
    <row r="41" spans="1:36">
      <c r="B41" s="138"/>
      <c r="C41" s="138"/>
    </row>
    <row r="42" spans="1:36">
      <c r="A42" s="17" t="s">
        <v>35</v>
      </c>
      <c r="B42" s="139"/>
      <c r="C42" s="139"/>
      <c r="D42" s="6"/>
    </row>
    <row r="43" spans="1:36">
      <c r="A43" t="s">
        <v>295</v>
      </c>
      <c r="B43" s="179">
        <f>B17/B36</f>
        <v>7.0441704645078027E-2</v>
      </c>
      <c r="C43" s="179"/>
    </row>
    <row r="44" spans="1:36">
      <c r="A44" s="34" t="s">
        <v>16</v>
      </c>
      <c r="B44" s="179">
        <f>(B19+B20)/B36</f>
        <v>0.4022800572427167</v>
      </c>
      <c r="C44" s="179"/>
    </row>
    <row r="45" spans="1:36">
      <c r="A45" t="s">
        <v>233</v>
      </c>
      <c r="B45" s="124">
        <f>B21/B36</f>
        <v>4.8003482215127546E-3</v>
      </c>
      <c r="C45" s="197"/>
    </row>
    <row r="46" spans="1:36">
      <c r="A46" t="s">
        <v>19</v>
      </c>
      <c r="B46" s="124">
        <f>B22/B36</f>
        <v>0.44983726343043762</v>
      </c>
    </row>
    <row r="47" spans="1:36">
      <c r="A47" t="s">
        <v>20</v>
      </c>
      <c r="B47" s="124">
        <f>(B24+B25)/B36</f>
        <v>1.5023875317434205E-2</v>
      </c>
    </row>
    <row r="48" spans="1:36">
      <c r="A48" s="80" t="s">
        <v>294</v>
      </c>
      <c r="B48" s="124">
        <f>B26/B36</f>
        <v>5.761675114282068E-2</v>
      </c>
    </row>
  </sheetData>
  <pageMargins left="0.25" right="0.25" top="0.75" bottom="0.75" header="0.3" footer="0.3"/>
  <pageSetup paperSize="3" pageOrder="overThenDown"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3E14-5509-443A-9B35-01DEEE673D46}">
  <sheetPr>
    <tabColor theme="5" tint="-0.249977111117893"/>
  </sheetPr>
  <dimension ref="A2"/>
  <sheetViews>
    <sheetView workbookViewId="0">
      <selection activeCell="I17" sqref="I17"/>
    </sheetView>
  </sheetViews>
  <sheetFormatPr defaultColWidth="8.85546875" defaultRowHeight="15"/>
  <sheetData>
    <row r="2" spans="1:1">
      <c r="A2" s="16" t="s">
        <v>129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322D-A662-44AC-9490-AB52EFDDAC5E}">
  <sheetPr>
    <tabColor theme="9" tint="0.59999389629810485"/>
  </sheetPr>
  <dimension ref="A1:U6"/>
  <sheetViews>
    <sheetView workbookViewId="0">
      <selection activeCell="Q15" sqref="Q15"/>
    </sheetView>
  </sheetViews>
  <sheetFormatPr defaultRowHeight="15"/>
  <cols>
    <col min="2" max="2" width="9.5703125" bestFit="1" customWidth="1"/>
  </cols>
  <sheetData>
    <row r="1" spans="1:21" ht="18.75">
      <c r="A1" s="4" t="s">
        <v>28</v>
      </c>
    </row>
    <row r="5" spans="1:21">
      <c r="B5">
        <v>2024</v>
      </c>
      <c r="C5">
        <f>B5+1</f>
        <v>2025</v>
      </c>
      <c r="D5">
        <f t="shared" ref="D5:U5" si="0">C5+1</f>
        <v>2026</v>
      </c>
      <c r="E5">
        <f t="shared" si="0"/>
        <v>2027</v>
      </c>
      <c r="F5">
        <f t="shared" si="0"/>
        <v>2028</v>
      </c>
      <c r="G5">
        <f t="shared" si="0"/>
        <v>2029</v>
      </c>
      <c r="H5">
        <f t="shared" si="0"/>
        <v>2030</v>
      </c>
      <c r="I5">
        <f t="shared" si="0"/>
        <v>2031</v>
      </c>
      <c r="J5">
        <f t="shared" si="0"/>
        <v>2032</v>
      </c>
      <c r="K5">
        <f t="shared" si="0"/>
        <v>2033</v>
      </c>
      <c r="L5">
        <f t="shared" si="0"/>
        <v>2034</v>
      </c>
      <c r="M5">
        <f t="shared" si="0"/>
        <v>2035</v>
      </c>
      <c r="N5">
        <f t="shared" si="0"/>
        <v>2036</v>
      </c>
      <c r="O5">
        <f t="shared" si="0"/>
        <v>2037</v>
      </c>
      <c r="P5" s="63">
        <f t="shared" si="0"/>
        <v>2038</v>
      </c>
      <c r="Q5">
        <f t="shared" si="0"/>
        <v>2039</v>
      </c>
      <c r="R5">
        <f t="shared" si="0"/>
        <v>2040</v>
      </c>
      <c r="S5">
        <f t="shared" si="0"/>
        <v>2041</v>
      </c>
      <c r="T5">
        <f t="shared" si="0"/>
        <v>2042</v>
      </c>
      <c r="U5">
        <f t="shared" si="0"/>
        <v>2043</v>
      </c>
    </row>
    <row r="6" spans="1:21">
      <c r="B6" s="64">
        <f>'Truck VMT VHT reductions'!$B$12*'Look Up Data'!$B$14</f>
        <v>0</v>
      </c>
      <c r="C6" s="64">
        <f>B6</f>
        <v>0</v>
      </c>
      <c r="D6" s="64">
        <f t="shared" ref="D6:U6" si="1">C6</f>
        <v>0</v>
      </c>
      <c r="E6" s="64">
        <f t="shared" si="1"/>
        <v>0</v>
      </c>
      <c r="F6" s="64">
        <f t="shared" si="1"/>
        <v>0</v>
      </c>
      <c r="G6" s="64">
        <f t="shared" si="1"/>
        <v>0</v>
      </c>
      <c r="H6" s="64">
        <f t="shared" si="1"/>
        <v>0</v>
      </c>
      <c r="I6" s="64">
        <f t="shared" si="1"/>
        <v>0</v>
      </c>
      <c r="J6" s="64">
        <f t="shared" si="1"/>
        <v>0</v>
      </c>
      <c r="K6" s="64">
        <f t="shared" si="1"/>
        <v>0</v>
      </c>
      <c r="L6" s="64">
        <f t="shared" si="1"/>
        <v>0</v>
      </c>
      <c r="M6" s="64">
        <f t="shared" si="1"/>
        <v>0</v>
      </c>
      <c r="N6" s="64">
        <f t="shared" si="1"/>
        <v>0</v>
      </c>
      <c r="O6" s="64">
        <f t="shared" si="1"/>
        <v>0</v>
      </c>
      <c r="P6" s="64">
        <f t="shared" si="1"/>
        <v>0</v>
      </c>
      <c r="Q6" s="64">
        <f t="shared" si="1"/>
        <v>0</v>
      </c>
      <c r="R6" s="64">
        <f t="shared" si="1"/>
        <v>0</v>
      </c>
      <c r="S6" s="64">
        <f t="shared" si="1"/>
        <v>0</v>
      </c>
      <c r="T6" s="64">
        <f t="shared" si="1"/>
        <v>0</v>
      </c>
      <c r="U6" s="64">
        <f t="shared" si="1"/>
        <v>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8E0E9-75DB-4D8C-BC23-9AC73A49B24C}">
  <sheetPr>
    <tabColor theme="9" tint="0.39997558519241921"/>
  </sheetPr>
  <dimension ref="A1:AC71"/>
  <sheetViews>
    <sheetView topLeftCell="A13" zoomScale="75" zoomScaleNormal="75" workbookViewId="0">
      <selection activeCell="L35" sqref="L35"/>
    </sheetView>
  </sheetViews>
  <sheetFormatPr defaultColWidth="8.7109375" defaultRowHeight="15"/>
  <cols>
    <col min="1" max="1" width="30.5703125" customWidth="1"/>
    <col min="2" max="2" width="14.28515625" customWidth="1"/>
    <col min="3" max="16" width="9.5703125" customWidth="1"/>
    <col min="17" max="18" width="14.5703125" customWidth="1"/>
    <col min="19" max="23" width="9.5703125" customWidth="1"/>
    <col min="24" max="29" width="12" bestFit="1" customWidth="1"/>
  </cols>
  <sheetData>
    <row r="1" spans="1:29" ht="18.75">
      <c r="A1" s="4" t="s">
        <v>130</v>
      </c>
      <c r="B1" s="34"/>
    </row>
    <row r="2" spans="1:29" ht="29.1" customHeight="1">
      <c r="B2" s="225"/>
    </row>
    <row r="3" spans="1:29">
      <c r="A3" s="1" t="s">
        <v>36</v>
      </c>
      <c r="B3" s="1"/>
      <c r="E3">
        <v>1</v>
      </c>
      <c r="F3">
        <f t="shared" ref="F3:W4" si="0">E3+1</f>
        <v>2</v>
      </c>
      <c r="G3">
        <f t="shared" si="0"/>
        <v>3</v>
      </c>
      <c r="H3">
        <f t="shared" si="0"/>
        <v>4</v>
      </c>
      <c r="I3">
        <f t="shared" si="0"/>
        <v>5</v>
      </c>
      <c r="J3">
        <f t="shared" si="0"/>
        <v>6</v>
      </c>
      <c r="K3">
        <f t="shared" si="0"/>
        <v>7</v>
      </c>
      <c r="L3">
        <f t="shared" si="0"/>
        <v>8</v>
      </c>
      <c r="M3">
        <f t="shared" si="0"/>
        <v>9</v>
      </c>
      <c r="N3">
        <f t="shared" si="0"/>
        <v>10</v>
      </c>
      <c r="O3">
        <f t="shared" si="0"/>
        <v>11</v>
      </c>
      <c r="P3">
        <f t="shared" si="0"/>
        <v>12</v>
      </c>
      <c r="Q3">
        <f t="shared" si="0"/>
        <v>13</v>
      </c>
      <c r="R3">
        <f t="shared" si="0"/>
        <v>14</v>
      </c>
      <c r="S3">
        <f t="shared" si="0"/>
        <v>15</v>
      </c>
      <c r="T3">
        <f t="shared" si="0"/>
        <v>16</v>
      </c>
      <c r="U3">
        <f t="shared" si="0"/>
        <v>17</v>
      </c>
      <c r="V3">
        <f t="shared" si="0"/>
        <v>18</v>
      </c>
      <c r="W3">
        <f t="shared" si="0"/>
        <v>19</v>
      </c>
      <c r="X3">
        <f t="shared" ref="X3:X4" si="1">W3+1</f>
        <v>20</v>
      </c>
      <c r="Y3">
        <f t="shared" ref="Y3:Y4" si="2">X3+1</f>
        <v>21</v>
      </c>
      <c r="Z3">
        <f t="shared" ref="Z3:Z4" si="3">Y3+1</f>
        <v>22</v>
      </c>
      <c r="AA3">
        <f t="shared" ref="AA3:AA4" si="4">Z3+1</f>
        <v>23</v>
      </c>
      <c r="AB3">
        <f t="shared" ref="AB3:AB4" si="5">AA3+1</f>
        <v>24</v>
      </c>
      <c r="AC3">
        <f t="shared" ref="AC3:AC4" si="6">AB3+1</f>
        <v>25</v>
      </c>
    </row>
    <row r="4" spans="1:29">
      <c r="C4">
        <v>2025</v>
      </c>
      <c r="D4">
        <f t="shared" ref="D4:V4" si="7">C4+1</f>
        <v>2026</v>
      </c>
      <c r="E4">
        <f t="shared" si="7"/>
        <v>2027</v>
      </c>
      <c r="F4">
        <f t="shared" si="7"/>
        <v>2028</v>
      </c>
      <c r="G4">
        <f t="shared" si="7"/>
        <v>2029</v>
      </c>
      <c r="H4">
        <f t="shared" si="7"/>
        <v>2030</v>
      </c>
      <c r="I4">
        <f t="shared" si="7"/>
        <v>2031</v>
      </c>
      <c r="J4">
        <f t="shared" si="7"/>
        <v>2032</v>
      </c>
      <c r="K4">
        <f t="shared" si="7"/>
        <v>2033</v>
      </c>
      <c r="L4">
        <f t="shared" si="7"/>
        <v>2034</v>
      </c>
      <c r="M4">
        <f t="shared" si="7"/>
        <v>2035</v>
      </c>
      <c r="N4">
        <f t="shared" si="7"/>
        <v>2036</v>
      </c>
      <c r="O4">
        <f t="shared" si="7"/>
        <v>2037</v>
      </c>
      <c r="P4">
        <f t="shared" si="7"/>
        <v>2038</v>
      </c>
      <c r="Q4">
        <f t="shared" si="7"/>
        <v>2039</v>
      </c>
      <c r="R4">
        <f t="shared" si="7"/>
        <v>2040</v>
      </c>
      <c r="S4">
        <f t="shared" si="7"/>
        <v>2041</v>
      </c>
      <c r="T4">
        <f t="shared" si="7"/>
        <v>2042</v>
      </c>
      <c r="U4">
        <f t="shared" si="7"/>
        <v>2043</v>
      </c>
      <c r="V4">
        <f t="shared" si="7"/>
        <v>2044</v>
      </c>
      <c r="W4">
        <f t="shared" si="0"/>
        <v>2045</v>
      </c>
      <c r="X4">
        <f t="shared" si="1"/>
        <v>2046</v>
      </c>
      <c r="Y4">
        <f t="shared" si="2"/>
        <v>2047</v>
      </c>
      <c r="Z4">
        <f t="shared" si="3"/>
        <v>2048</v>
      </c>
      <c r="AA4">
        <f t="shared" si="4"/>
        <v>2049</v>
      </c>
      <c r="AB4">
        <f t="shared" si="5"/>
        <v>2050</v>
      </c>
      <c r="AC4">
        <f t="shared" si="6"/>
        <v>2051</v>
      </c>
    </row>
    <row r="5" spans="1:29">
      <c r="B5" s="34"/>
    </row>
    <row r="6" spans="1:29">
      <c r="A6" t="s">
        <v>131</v>
      </c>
      <c r="D6" s="19"/>
      <c r="E6" s="19"/>
      <c r="F6" s="19"/>
      <c r="G6" s="19"/>
      <c r="H6" s="19"/>
      <c r="I6" s="19"/>
      <c r="J6" s="19"/>
      <c r="K6" s="19"/>
      <c r="L6" s="19"/>
      <c r="M6" s="19"/>
      <c r="N6" s="19"/>
      <c r="O6" s="19"/>
      <c r="P6" s="19"/>
      <c r="Q6" s="19"/>
      <c r="R6" s="19"/>
      <c r="S6" s="19"/>
      <c r="T6" s="19"/>
      <c r="U6" s="19"/>
      <c r="V6" s="19"/>
      <c r="W6" s="19"/>
      <c r="X6" s="19"/>
    </row>
    <row r="7" spans="1:29">
      <c r="A7" s="1" t="s">
        <v>17</v>
      </c>
      <c r="B7" s="8">
        <f>SUM(E7:AC7)</f>
        <v>3140025.495670381</v>
      </c>
      <c r="C7" s="7">
        <f>N68</f>
        <v>108022.48172099996</v>
      </c>
      <c r="D7" s="7">
        <f>C7*$J$25</f>
        <v>109169.49351415696</v>
      </c>
      <c r="E7" s="7">
        <f t="shared" ref="E7:AC7" si="8">D7*$J$25</f>
        <v>110328.68458733679</v>
      </c>
      <c r="F7" s="7">
        <f t="shared" si="8"/>
        <v>111500.18426341368</v>
      </c>
      <c r="G7" s="7">
        <f t="shared" si="8"/>
        <v>112684.12323844698</v>
      </c>
      <c r="H7" s="7">
        <f t="shared" si="8"/>
        <v>113880.63359626195</v>
      </c>
      <c r="I7" s="7">
        <f t="shared" si="8"/>
        <v>115089.84882318549</v>
      </c>
      <c r="J7" s="7">
        <f t="shared" si="8"/>
        <v>116311.90382293826</v>
      </c>
      <c r="K7" s="7">
        <f t="shared" si="8"/>
        <v>117546.93493168493</v>
      </c>
      <c r="L7" s="7">
        <f t="shared" si="8"/>
        <v>118795.07993324425</v>
      </c>
      <c r="M7" s="7">
        <f t="shared" si="8"/>
        <v>120056.47807446073</v>
      </c>
      <c r="N7" s="7">
        <f t="shared" si="8"/>
        <v>121331.27008073927</v>
      </c>
      <c r="O7" s="7">
        <f t="shared" si="8"/>
        <v>122619.59817174506</v>
      </c>
      <c r="P7" s="7">
        <f t="shared" si="8"/>
        <v>123921.60607726999</v>
      </c>
      <c r="Q7" s="7">
        <f t="shared" si="8"/>
        <v>125237.43905326753</v>
      </c>
      <c r="R7" s="7">
        <f t="shared" si="8"/>
        <v>126567.24389805803</v>
      </c>
      <c r="S7" s="7">
        <f t="shared" si="8"/>
        <v>127911.16896870588</v>
      </c>
      <c r="T7" s="7">
        <f t="shared" si="8"/>
        <v>129269.36419757073</v>
      </c>
      <c r="U7" s="7">
        <f t="shared" si="8"/>
        <v>130641.9811090344</v>
      </c>
      <c r="V7" s="7">
        <f t="shared" si="8"/>
        <v>132029.1728364054</v>
      </c>
      <c r="W7" s="7">
        <f t="shared" si="8"/>
        <v>133431.0941390029</v>
      </c>
      <c r="X7" s="7">
        <f t="shared" si="8"/>
        <v>134847.90141942224</v>
      </c>
      <c r="Y7" s="7">
        <f t="shared" si="8"/>
        <v>136279.75274098359</v>
      </c>
      <c r="Z7" s="7">
        <f t="shared" si="8"/>
        <v>137726.80784536598</v>
      </c>
      <c r="AA7" s="7">
        <f t="shared" si="8"/>
        <v>139189.22817042866</v>
      </c>
      <c r="AB7" s="7">
        <f t="shared" si="8"/>
        <v>140667.17686822149</v>
      </c>
      <c r="AC7" s="7">
        <f t="shared" si="8"/>
        <v>142160.81882318674</v>
      </c>
    </row>
    <row r="8" spans="1:29">
      <c r="A8" s="1" t="s">
        <v>18</v>
      </c>
      <c r="B8" s="8">
        <f>SUM(E8:AC8)</f>
        <v>556992.43227879226</v>
      </c>
      <c r="C8" s="7">
        <f>O68</f>
        <v>19161.533853000008</v>
      </c>
      <c r="D8" s="7">
        <f>C8*$J$25</f>
        <v>19364.996178195739</v>
      </c>
      <c r="E8" s="7">
        <f t="shared" ref="E8:AC8" si="9">D8*$J$25</f>
        <v>19570.618921137338</v>
      </c>
      <c r="F8" s="7">
        <f t="shared" si="9"/>
        <v>19778.425021722065</v>
      </c>
      <c r="G8" s="7">
        <f t="shared" si="9"/>
        <v>19988.437663429188</v>
      </c>
      <c r="H8" s="7">
        <f t="shared" si="9"/>
        <v>20200.680275906398</v>
      </c>
      <c r="I8" s="7">
        <f t="shared" si="9"/>
        <v>20415.176537583695</v>
      </c>
      <c r="J8" s="7">
        <f t="shared" si="9"/>
        <v>20631.950378315021</v>
      </c>
      <c r="K8" s="7">
        <f t="shared" si="9"/>
        <v>20851.025982047951</v>
      </c>
      <c r="L8" s="7">
        <f t="shared" si="9"/>
        <v>21072.427789521724</v>
      </c>
      <c r="M8" s="7">
        <f t="shared" si="9"/>
        <v>21296.180500993931</v>
      </c>
      <c r="N8" s="7">
        <f t="shared" si="9"/>
        <v>21522.309078996146</v>
      </c>
      <c r="O8" s="7">
        <f t="shared" si="9"/>
        <v>21750.838751118827</v>
      </c>
      <c r="P8" s="7">
        <f t="shared" si="9"/>
        <v>21981.795012825776</v>
      </c>
      <c r="Q8" s="7">
        <f t="shared" si="9"/>
        <v>22215.203630298496</v>
      </c>
      <c r="R8" s="7">
        <f t="shared" si="9"/>
        <v>22451.090643310741</v>
      </c>
      <c r="S8" s="7">
        <f t="shared" si="9"/>
        <v>22689.482368133591</v>
      </c>
      <c r="T8" s="7">
        <f t="shared" si="9"/>
        <v>22930.405400471383</v>
      </c>
      <c r="U8" s="7">
        <f t="shared" si="9"/>
        <v>23173.886618428798</v>
      </c>
      <c r="V8" s="7">
        <f t="shared" si="9"/>
        <v>23419.953185509468</v>
      </c>
      <c r="W8" s="7">
        <f t="shared" si="9"/>
        <v>23668.632553646425</v>
      </c>
      <c r="X8" s="7">
        <f t="shared" si="9"/>
        <v>23919.952466264709</v>
      </c>
      <c r="Y8" s="7">
        <f t="shared" si="9"/>
        <v>24173.940961376524</v>
      </c>
      <c r="Z8" s="7">
        <f t="shared" si="9"/>
        <v>24430.626374709234</v>
      </c>
      <c r="AA8" s="7">
        <f t="shared" si="9"/>
        <v>24690.037342866581</v>
      </c>
      <c r="AB8" s="7">
        <f t="shared" si="9"/>
        <v>24952.202806523477</v>
      </c>
      <c r="AC8" s="7">
        <f t="shared" si="9"/>
        <v>25217.152013654715</v>
      </c>
    </row>
    <row r="9" spans="1:29">
      <c r="A9" t="s">
        <v>132</v>
      </c>
      <c r="D9" s="19"/>
      <c r="E9" s="19"/>
      <c r="F9" s="19"/>
      <c r="G9" s="19"/>
      <c r="H9" s="19"/>
      <c r="I9" s="19"/>
      <c r="J9" s="19"/>
      <c r="K9" s="19"/>
      <c r="L9" s="19"/>
      <c r="M9" s="19"/>
      <c r="N9" s="19"/>
      <c r="O9" s="19"/>
      <c r="P9" s="19"/>
      <c r="Q9" s="19"/>
      <c r="R9" s="19"/>
      <c r="S9" s="19"/>
      <c r="T9" s="19"/>
      <c r="U9" s="19"/>
      <c r="V9" s="19"/>
      <c r="W9" s="19"/>
      <c r="X9" s="19"/>
    </row>
    <row r="10" spans="1:29">
      <c r="A10" s="1" t="s">
        <v>17</v>
      </c>
      <c r="B10" s="8">
        <f>SUM(E10:AC10)</f>
        <v>5243842.5777695356</v>
      </c>
      <c r="D10" s="206"/>
      <c r="E10" s="288">
        <f>E7*'Look Up Data'!$B$5</f>
        <v>184248.90326085241</v>
      </c>
      <c r="F10" s="288">
        <f>F7*'Look Up Data'!$B$5</f>
        <v>186205.30771990085</v>
      </c>
      <c r="G10" s="288">
        <f>G7*'Look Up Data'!$B$5</f>
        <v>188182.48580820643</v>
      </c>
      <c r="H10" s="288">
        <f>H7*'Look Up Data'!$B$5</f>
        <v>190180.65810575744</v>
      </c>
      <c r="I10" s="288">
        <f>I7*'Look Up Data'!$B$5</f>
        <v>192200.04753471975</v>
      </c>
      <c r="J10" s="288">
        <f>J7*'Look Up Data'!$B$5</f>
        <v>194240.87938430687</v>
      </c>
      <c r="K10" s="288">
        <f>K7*'Look Up Data'!$B$5</f>
        <v>196303.38133591381</v>
      </c>
      <c r="L10" s="288">
        <f>L7*'Look Up Data'!$B$5</f>
        <v>198387.78348851789</v>
      </c>
      <c r="M10" s="288">
        <f>M7*'Look Up Data'!$B$5</f>
        <v>200494.3183843494</v>
      </c>
      <c r="N10" s="288">
        <f>N7*'Look Up Data'!$B$5</f>
        <v>202623.22103483457</v>
      </c>
      <c r="O10" s="288">
        <f>O7*'Look Up Data'!$B$5</f>
        <v>204774.72894681426</v>
      </c>
      <c r="P10" s="288">
        <f>P7*'Look Up Data'!$B$5</f>
        <v>206949.08214904086</v>
      </c>
      <c r="Q10" s="288">
        <f>Q7*'Look Up Data'!$B$5</f>
        <v>209146.52321895678</v>
      </c>
      <c r="R10" s="288">
        <f>R7*'Look Up Data'!$B$5</f>
        <v>211367.29730975692</v>
      </c>
      <c r="S10" s="288">
        <f>S7*'Look Up Data'!$B$5</f>
        <v>213611.65217773881</v>
      </c>
      <c r="T10" s="288">
        <f>T7*'Look Up Data'!$B$5</f>
        <v>215879.83820994312</v>
      </c>
      <c r="U10" s="288">
        <f>U7*'Look Up Data'!$B$5</f>
        <v>218172.10845208744</v>
      </c>
      <c r="V10" s="288">
        <f>V7*'Look Up Data'!$B$5</f>
        <v>220488.71863679701</v>
      </c>
      <c r="W10" s="288">
        <f>W7*'Look Up Data'!$B$5</f>
        <v>222829.92721213485</v>
      </c>
      <c r="X10" s="288">
        <f>X7*'Look Up Data'!$B$5</f>
        <v>225195.99537043512</v>
      </c>
      <c r="Y10" s="288">
        <f>Y7*'Look Up Data'!$B$5</f>
        <v>227587.18707744259</v>
      </c>
      <c r="Z10" s="288">
        <f>Z7*'Look Up Data'!$B$5</f>
        <v>230003.76910176119</v>
      </c>
      <c r="AA10" s="288">
        <f>AA7*'Look Up Data'!$B$5</f>
        <v>232446.01104461585</v>
      </c>
      <c r="AB10" s="288">
        <f>AB7*'Look Up Data'!$B$5</f>
        <v>234914.18536992988</v>
      </c>
      <c r="AC10" s="288">
        <f>AC7*'Look Up Data'!$B$5</f>
        <v>237408.56743472183</v>
      </c>
    </row>
    <row r="11" spans="1:29">
      <c r="A11" s="1" t="s">
        <v>18</v>
      </c>
      <c r="B11" s="8">
        <f>SUM(E11:AC11)</f>
        <v>556992.43227879226</v>
      </c>
      <c r="D11" s="206"/>
      <c r="E11" s="288">
        <f>E8</f>
        <v>19570.618921137338</v>
      </c>
      <c r="F11" s="288">
        <f t="shared" ref="F11:AC11" si="10">F8</f>
        <v>19778.425021722065</v>
      </c>
      <c r="G11" s="288">
        <f t="shared" si="10"/>
        <v>19988.437663429188</v>
      </c>
      <c r="H11" s="288">
        <f t="shared" si="10"/>
        <v>20200.680275906398</v>
      </c>
      <c r="I11" s="288">
        <f t="shared" si="10"/>
        <v>20415.176537583695</v>
      </c>
      <c r="J11" s="288">
        <f t="shared" si="10"/>
        <v>20631.950378315021</v>
      </c>
      <c r="K11" s="288">
        <f t="shared" si="10"/>
        <v>20851.025982047951</v>
      </c>
      <c r="L11" s="288">
        <f t="shared" si="10"/>
        <v>21072.427789521724</v>
      </c>
      <c r="M11" s="288">
        <f t="shared" si="10"/>
        <v>21296.180500993931</v>
      </c>
      <c r="N11" s="288">
        <f t="shared" si="10"/>
        <v>21522.309078996146</v>
      </c>
      <c r="O11" s="288">
        <f t="shared" si="10"/>
        <v>21750.838751118827</v>
      </c>
      <c r="P11" s="288">
        <f t="shared" si="10"/>
        <v>21981.795012825776</v>
      </c>
      <c r="Q11" s="288">
        <f t="shared" si="10"/>
        <v>22215.203630298496</v>
      </c>
      <c r="R11" s="288">
        <f t="shared" si="10"/>
        <v>22451.090643310741</v>
      </c>
      <c r="S11" s="288">
        <f t="shared" si="10"/>
        <v>22689.482368133591</v>
      </c>
      <c r="T11" s="288">
        <f t="shared" si="10"/>
        <v>22930.405400471383</v>
      </c>
      <c r="U11" s="288">
        <f t="shared" si="10"/>
        <v>23173.886618428798</v>
      </c>
      <c r="V11" s="288">
        <f t="shared" si="10"/>
        <v>23419.953185509468</v>
      </c>
      <c r="W11" s="288">
        <f t="shared" si="10"/>
        <v>23668.632553646425</v>
      </c>
      <c r="X11" s="288">
        <f t="shared" si="10"/>
        <v>23919.952466264709</v>
      </c>
      <c r="Y11" s="288">
        <f t="shared" si="10"/>
        <v>24173.940961376524</v>
      </c>
      <c r="Z11" s="288">
        <f t="shared" si="10"/>
        <v>24430.626374709234</v>
      </c>
      <c r="AA11" s="288">
        <f t="shared" si="10"/>
        <v>24690.037342866581</v>
      </c>
      <c r="AB11" s="288">
        <f t="shared" si="10"/>
        <v>24952.202806523477</v>
      </c>
      <c r="AC11" s="288">
        <f t="shared" si="10"/>
        <v>25217.152013654715</v>
      </c>
    </row>
    <row r="12" spans="1:29">
      <c r="D12" s="19"/>
      <c r="E12" s="19"/>
      <c r="F12" s="19"/>
      <c r="G12" s="19"/>
      <c r="H12" s="19"/>
      <c r="I12" s="19"/>
      <c r="J12" s="19"/>
      <c r="K12" s="19"/>
      <c r="L12" s="19"/>
      <c r="M12" s="19"/>
      <c r="N12" s="19"/>
      <c r="O12" s="19"/>
      <c r="P12" s="19"/>
      <c r="Q12" s="19"/>
      <c r="R12" s="19"/>
      <c r="S12" s="19"/>
      <c r="T12" s="19"/>
      <c r="U12" s="19"/>
      <c r="V12" s="19"/>
      <c r="W12" s="19"/>
      <c r="X12" s="19"/>
    </row>
    <row r="13" spans="1:29">
      <c r="D13" s="19"/>
      <c r="E13" s="19"/>
      <c r="F13" s="19"/>
      <c r="G13" s="19"/>
      <c r="H13" s="19"/>
      <c r="I13" s="19"/>
      <c r="J13" s="19"/>
      <c r="K13" s="19"/>
      <c r="L13" s="19"/>
      <c r="M13" s="19"/>
      <c r="N13" s="19"/>
      <c r="O13" s="19"/>
      <c r="P13" s="19"/>
      <c r="Q13" s="19"/>
      <c r="R13" s="19"/>
      <c r="S13" s="19"/>
      <c r="T13" s="19"/>
      <c r="U13" s="19"/>
      <c r="V13" s="19"/>
      <c r="W13" s="19"/>
      <c r="X13" s="19"/>
    </row>
    <row r="14" spans="1:29">
      <c r="D14" s="19"/>
      <c r="E14" s="19"/>
      <c r="F14" s="19"/>
      <c r="G14" s="19"/>
      <c r="H14" s="19"/>
      <c r="I14" s="19"/>
      <c r="J14" s="19"/>
      <c r="K14" s="19"/>
      <c r="L14" s="19"/>
      <c r="M14" s="19"/>
      <c r="N14" s="19"/>
      <c r="O14" s="19"/>
      <c r="P14" s="19"/>
      <c r="Q14" s="19"/>
      <c r="R14" s="19"/>
      <c r="S14" s="19"/>
      <c r="T14" s="19"/>
      <c r="U14" s="19"/>
      <c r="V14" s="19"/>
      <c r="W14" s="19"/>
      <c r="X14" s="19"/>
    </row>
    <row r="15" spans="1:29">
      <c r="D15" s="19"/>
      <c r="E15" s="19"/>
      <c r="F15" s="19"/>
      <c r="G15" s="19"/>
      <c r="H15" s="19"/>
      <c r="I15" s="19"/>
      <c r="J15" s="19"/>
      <c r="K15" s="19"/>
      <c r="L15" s="19"/>
      <c r="M15" s="19"/>
      <c r="N15" s="19"/>
      <c r="O15" s="19"/>
      <c r="P15" s="19"/>
      <c r="Q15" s="19"/>
      <c r="R15" s="19"/>
      <c r="S15" s="19"/>
      <c r="T15" s="19"/>
      <c r="U15" s="19"/>
      <c r="V15" s="19"/>
      <c r="W15" s="19"/>
      <c r="X15" s="19"/>
    </row>
    <row r="16" spans="1:29">
      <c r="A16" s="16" t="s">
        <v>133</v>
      </c>
      <c r="C16" s="19"/>
      <c r="E16" s="19"/>
      <c r="F16" s="19"/>
      <c r="G16" s="19"/>
      <c r="H16" s="19"/>
      <c r="I16" s="19"/>
      <c r="J16" s="19"/>
      <c r="K16" s="19"/>
      <c r="L16" s="19"/>
      <c r="M16" s="19"/>
      <c r="N16" s="19"/>
      <c r="O16" s="19"/>
      <c r="P16" s="19"/>
      <c r="Q16" s="19"/>
      <c r="R16" s="19"/>
      <c r="S16" s="19"/>
      <c r="T16" s="19"/>
      <c r="U16" s="19"/>
      <c r="V16" s="19"/>
      <c r="W16" s="19"/>
      <c r="X16" s="19"/>
    </row>
    <row r="17" spans="1:24" ht="45">
      <c r="A17" s="228" t="s">
        <v>1</v>
      </c>
      <c r="B17" s="233"/>
      <c r="C17" s="234" t="s">
        <v>134</v>
      </c>
      <c r="D17" s="234" t="s">
        <v>135</v>
      </c>
      <c r="E17" s="234" t="s">
        <v>136</v>
      </c>
      <c r="F17" s="234" t="s">
        <v>137</v>
      </c>
      <c r="G17" s="234" t="s">
        <v>138</v>
      </c>
      <c r="H17" s="234" t="s">
        <v>139</v>
      </c>
      <c r="I17" s="19"/>
      <c r="J17" s="235"/>
      <c r="K17" s="19"/>
      <c r="L17" s="19"/>
      <c r="M17" s="19"/>
      <c r="O17" s="140"/>
      <c r="P17" s="140"/>
      <c r="Q17" s="140"/>
      <c r="R17" s="140"/>
      <c r="S17" s="19"/>
      <c r="T17" s="19"/>
      <c r="U17" s="19"/>
      <c r="V17" s="19"/>
      <c r="W17" s="19"/>
      <c r="X17" s="19"/>
    </row>
    <row r="18" spans="1:24">
      <c r="A18" s="438">
        <v>2020</v>
      </c>
      <c r="B18" s="229" t="s">
        <v>141</v>
      </c>
      <c r="C18" s="230">
        <v>62330</v>
      </c>
      <c r="D18" s="230">
        <v>62330</v>
      </c>
      <c r="E18" s="230">
        <v>29695</v>
      </c>
      <c r="F18" s="230">
        <v>29695</v>
      </c>
      <c r="G18" s="230">
        <v>63830</v>
      </c>
      <c r="H18" s="230">
        <v>63830</v>
      </c>
    </row>
    <row r="19" spans="1:24">
      <c r="A19" s="438"/>
      <c r="B19" s="231" t="s">
        <v>48</v>
      </c>
      <c r="C19" s="439">
        <f>SUM(C18,D18)</f>
        <v>124660</v>
      </c>
      <c r="D19" s="439"/>
      <c r="E19" s="439">
        <f>SUM(E18,F18)</f>
        <v>59390</v>
      </c>
      <c r="F19" s="439"/>
      <c r="G19" s="439">
        <f>SUM(G18,H18)</f>
        <v>127660</v>
      </c>
      <c r="H19" s="439"/>
    </row>
    <row r="20" spans="1:24">
      <c r="A20" s="438">
        <v>2025</v>
      </c>
      <c r="B20" s="229" t="s">
        <v>141</v>
      </c>
      <c r="C20" s="230">
        <v>66241</v>
      </c>
      <c r="D20" s="230">
        <v>66241</v>
      </c>
      <c r="E20" s="230">
        <v>32081</v>
      </c>
      <c r="F20" s="230">
        <v>32081</v>
      </c>
      <c r="G20" s="230">
        <v>67811</v>
      </c>
      <c r="H20" s="230">
        <v>67811</v>
      </c>
      <c r="O20" s="2"/>
      <c r="P20" s="2"/>
      <c r="Q20" s="19"/>
      <c r="R20" s="19"/>
    </row>
    <row r="21" spans="1:24">
      <c r="A21" s="438"/>
      <c r="B21" s="231" t="s">
        <v>48</v>
      </c>
      <c r="C21" s="439">
        <f>SUM(C20,D20)</f>
        <v>132482</v>
      </c>
      <c r="D21" s="439"/>
      <c r="E21" s="439">
        <f>SUM(E20,F20)</f>
        <v>64162</v>
      </c>
      <c r="F21" s="439"/>
      <c r="G21" s="439">
        <f>SUM(G20,H20)</f>
        <v>135622</v>
      </c>
      <c r="H21" s="439"/>
      <c r="O21" s="19"/>
      <c r="P21" s="19"/>
      <c r="Q21" s="19"/>
      <c r="R21" s="19"/>
    </row>
    <row r="22" spans="1:24">
      <c r="A22" s="438">
        <v>2031</v>
      </c>
      <c r="B22" s="229" t="s">
        <v>141</v>
      </c>
      <c r="C22" s="230">
        <v>70935</v>
      </c>
      <c r="D22" s="230">
        <v>70935</v>
      </c>
      <c r="E22" s="230">
        <v>34945</v>
      </c>
      <c r="F22" s="230">
        <v>34945</v>
      </c>
      <c r="G22" s="230">
        <v>72589</v>
      </c>
      <c r="H22" s="230">
        <v>72589</v>
      </c>
      <c r="O22" s="19"/>
      <c r="P22" s="19"/>
      <c r="Q22" s="19"/>
      <c r="R22" s="19"/>
    </row>
    <row r="23" spans="1:24" ht="15.75" thickBot="1">
      <c r="A23" s="438"/>
      <c r="B23" s="231" t="s">
        <v>48</v>
      </c>
      <c r="C23" s="439">
        <f>SUM(C22,D22)</f>
        <v>141870</v>
      </c>
      <c r="D23" s="439"/>
      <c r="E23" s="439">
        <f>SUM(E22,F22)</f>
        <v>69890</v>
      </c>
      <c r="F23" s="439"/>
      <c r="G23" s="439">
        <f>SUM(G22,H22)</f>
        <v>145178</v>
      </c>
      <c r="H23" s="439"/>
      <c r="N23" s="147"/>
      <c r="Q23" s="7"/>
      <c r="R23" s="7"/>
    </row>
    <row r="24" spans="1:24" ht="24.95" customHeight="1">
      <c r="A24" s="438">
        <v>2051</v>
      </c>
      <c r="B24" s="229" t="s">
        <v>141</v>
      </c>
      <c r="C24" s="230">
        <v>86552</v>
      </c>
      <c r="D24" s="230">
        <v>86552</v>
      </c>
      <c r="E24" s="230">
        <v>43556</v>
      </c>
      <c r="F24" s="230">
        <v>43556</v>
      </c>
      <c r="G24" s="230">
        <v>88528</v>
      </c>
      <c r="H24" s="230">
        <v>88528</v>
      </c>
      <c r="J24" s="451" t="s">
        <v>140</v>
      </c>
      <c r="K24" s="452"/>
      <c r="L24" s="452"/>
      <c r="M24" s="452"/>
      <c r="N24" s="453"/>
      <c r="Q24" s="19"/>
      <c r="R24" s="19"/>
    </row>
    <row r="25" spans="1:24" ht="15.75" thickBot="1">
      <c r="A25" s="438"/>
      <c r="B25" s="231" t="s">
        <v>48</v>
      </c>
      <c r="C25" s="439">
        <f>SUM(C24,D24)</f>
        <v>173104</v>
      </c>
      <c r="D25" s="439"/>
      <c r="E25" s="439">
        <f>SUM(E24,F24)</f>
        <v>87112</v>
      </c>
      <c r="F25" s="439"/>
      <c r="G25" s="439">
        <f>SUM(G24,H24)</f>
        <v>177056</v>
      </c>
      <c r="H25" s="439"/>
      <c r="J25" s="347">
        <f>((C25+E25+G25)/(C21+E21+G21))^(1/26)</f>
        <v>1.0106182692239889</v>
      </c>
      <c r="K25" s="348"/>
      <c r="L25" s="348"/>
      <c r="M25" s="348"/>
      <c r="N25" s="358"/>
    </row>
    <row r="27" spans="1:24">
      <c r="B27" s="232" t="s">
        <v>142</v>
      </c>
      <c r="C27" s="441" t="s">
        <v>143</v>
      </c>
      <c r="D27" s="441"/>
      <c r="E27" s="442" t="s">
        <v>144</v>
      </c>
      <c r="F27" s="442"/>
      <c r="G27" s="442" t="s">
        <v>145</v>
      </c>
      <c r="H27" s="442"/>
      <c r="J27" s="34"/>
    </row>
    <row r="28" spans="1:24">
      <c r="B28" s="227" t="s">
        <v>146</v>
      </c>
      <c r="C28" s="440">
        <f t="shared" ref="C28" si="11">SUM(C21-C19)/C21</f>
        <v>5.9041983061849913E-2</v>
      </c>
      <c r="D28" s="440"/>
      <c r="E28" s="440">
        <f>SUM(E21-E19)/E21</f>
        <v>7.4374240204482397E-2</v>
      </c>
      <c r="F28" s="440"/>
      <c r="G28" s="440">
        <f t="shared" ref="G28" si="12">SUM(G21-G19)/G21</f>
        <v>5.8707289377829555E-2</v>
      </c>
      <c r="H28" s="440"/>
    </row>
    <row r="29" spans="1:24">
      <c r="B29" s="227" t="s">
        <v>147</v>
      </c>
      <c r="C29" s="440">
        <f t="shared" ref="C29" si="13">SUM(C23-C21)/C23</f>
        <v>6.6173257207302466E-2</v>
      </c>
      <c r="D29" s="440"/>
      <c r="E29" s="440">
        <f>SUM(E23-E21)/E23</f>
        <v>8.1957361568178566E-2</v>
      </c>
      <c r="F29" s="440"/>
      <c r="G29" s="440">
        <f t="shared" ref="G29" si="14">SUM(G23-G21)/G23</f>
        <v>6.5822645304384961E-2</v>
      </c>
      <c r="H29" s="440"/>
    </row>
    <row r="30" spans="1:24">
      <c r="B30" s="227" t="s">
        <v>148</v>
      </c>
      <c r="C30" s="440">
        <f t="shared" ref="C30" si="15">SUM(C25-C23)/C25</f>
        <v>0.18043488307606989</v>
      </c>
      <c r="D30" s="440"/>
      <c r="E30" s="440">
        <f>SUM(E25-E23)/E25</f>
        <v>0.19769951327027274</v>
      </c>
      <c r="F30" s="440"/>
      <c r="G30" s="440">
        <f t="shared" ref="G30" si="16">SUM(G25-G23)/G25</f>
        <v>0.18004473161033796</v>
      </c>
      <c r="H30" s="440"/>
    </row>
    <row r="31" spans="1:24">
      <c r="B31" s="227" t="s">
        <v>149</v>
      </c>
      <c r="C31" s="440">
        <f t="shared" ref="C31" si="17">SUM(C23-C19)/C23</f>
        <v>0.12130823993797138</v>
      </c>
      <c r="D31" s="440"/>
      <c r="E31" s="440">
        <f>SUM(E23-E19)/E23</f>
        <v>0.15023608527686363</v>
      </c>
      <c r="F31" s="440"/>
      <c r="G31" s="440">
        <f t="shared" ref="G31" si="18">SUM(G23-G19)/G23</f>
        <v>0.12066566559671575</v>
      </c>
      <c r="H31" s="440"/>
    </row>
    <row r="32" spans="1:24">
      <c r="B32" s="227" t="s">
        <v>150</v>
      </c>
      <c r="C32" s="440">
        <f t="shared" ref="C32" si="19">SUM(C25-C19)/C25</f>
        <v>0.27985488492466959</v>
      </c>
      <c r="D32" s="440"/>
      <c r="E32" s="440">
        <f>SUM(E25-E19)/E25</f>
        <v>0.31823399761226928</v>
      </c>
      <c r="F32" s="440"/>
      <c r="G32" s="440">
        <f t="shared" ref="G32" si="20">SUM(G25-G19)/G25</f>
        <v>0.27898517983011023</v>
      </c>
      <c r="H32" s="440"/>
    </row>
    <row r="33" spans="2:19">
      <c r="B33" s="340" t="s">
        <v>319</v>
      </c>
    </row>
    <row r="39" spans="2:19" ht="16.5" thickBot="1">
      <c r="B39" s="78" t="s">
        <v>256</v>
      </c>
    </row>
    <row r="40" spans="2:19" ht="15.75" thickBot="1">
      <c r="B40" s="93" t="s">
        <v>239</v>
      </c>
      <c r="C40" s="54"/>
      <c r="D40" s="54"/>
      <c r="E40" s="54"/>
      <c r="F40" s="54"/>
      <c r="G40" s="54"/>
      <c r="H40" s="54"/>
      <c r="I40" s="54"/>
      <c r="J40" s="54"/>
      <c r="K40" s="54"/>
      <c r="L40" s="54"/>
      <c r="M40" s="54"/>
      <c r="N40" s="54"/>
      <c r="O40" s="54"/>
      <c r="P40" s="54"/>
      <c r="Q40" s="54"/>
      <c r="R40" s="54"/>
      <c r="S40" s="55"/>
    </row>
    <row r="41" spans="2:19">
      <c r="B41" s="76"/>
      <c r="C41" s="289"/>
      <c r="D41" s="289"/>
      <c r="E41" s="93" t="s">
        <v>228</v>
      </c>
      <c r="F41" s="54"/>
      <c r="G41" s="55"/>
      <c r="H41" s="93" t="s">
        <v>50</v>
      </c>
      <c r="I41" s="54"/>
      <c r="J41" s="55"/>
      <c r="K41" s="289"/>
      <c r="L41" s="289"/>
      <c r="M41" s="289"/>
      <c r="N41" s="289"/>
      <c r="O41" s="289"/>
      <c r="P41" s="289"/>
      <c r="Q41" s="289"/>
      <c r="R41" s="289"/>
      <c r="S41" s="95"/>
    </row>
    <row r="42" spans="2:19">
      <c r="B42" s="76" t="s">
        <v>1</v>
      </c>
      <c r="C42" s="289" t="s">
        <v>240</v>
      </c>
      <c r="D42" s="289" t="s">
        <v>241</v>
      </c>
      <c r="E42" s="76" t="s">
        <v>242</v>
      </c>
      <c r="F42" s="289" t="s">
        <v>234</v>
      </c>
      <c r="G42" s="95" t="s">
        <v>235</v>
      </c>
      <c r="H42" s="76" t="s">
        <v>242</v>
      </c>
      <c r="I42" s="289" t="s">
        <v>234</v>
      </c>
      <c r="J42" s="95" t="s">
        <v>235</v>
      </c>
      <c r="K42" s="289"/>
      <c r="L42" s="289"/>
      <c r="M42" s="289"/>
      <c r="N42" s="289"/>
      <c r="O42" s="289"/>
      <c r="P42" s="289"/>
      <c r="Q42" s="289"/>
      <c r="R42" s="289"/>
      <c r="S42" s="95"/>
    </row>
    <row r="43" spans="2:19">
      <c r="B43" s="76">
        <v>2021</v>
      </c>
      <c r="C43" s="289" t="s">
        <v>243</v>
      </c>
      <c r="D43" s="289" t="s">
        <v>244</v>
      </c>
      <c r="E43" s="76">
        <v>4.2876440000000002</v>
      </c>
      <c r="F43" s="289">
        <v>4.2646389999999998</v>
      </c>
      <c r="G43" s="95">
        <v>4.4267070000000004</v>
      </c>
      <c r="H43" s="76" t="s">
        <v>245</v>
      </c>
      <c r="I43" s="289"/>
      <c r="J43" s="95"/>
      <c r="K43" s="289"/>
      <c r="L43" s="289"/>
      <c r="M43" s="289"/>
      <c r="N43" s="289"/>
      <c r="O43" s="289"/>
      <c r="P43" s="289"/>
      <c r="Q43" s="289"/>
      <c r="R43" s="289"/>
      <c r="S43" s="95"/>
    </row>
    <row r="44" spans="2:19">
      <c r="B44" s="76">
        <v>2021</v>
      </c>
      <c r="C44" s="289" t="s">
        <v>243</v>
      </c>
      <c r="D44" s="289" t="s">
        <v>246</v>
      </c>
      <c r="E44" s="76">
        <v>7.8931149999999999</v>
      </c>
      <c r="F44" s="289">
        <v>7.8307950000000002</v>
      </c>
      <c r="G44" s="95">
        <v>8.228453</v>
      </c>
      <c r="H44" s="76" t="s">
        <v>245</v>
      </c>
      <c r="I44" s="289"/>
      <c r="J44" s="95"/>
      <c r="K44" s="289"/>
      <c r="L44" s="289"/>
      <c r="M44" s="289"/>
      <c r="N44" s="289"/>
      <c r="O44" s="289"/>
      <c r="P44" s="289"/>
      <c r="Q44" s="289"/>
      <c r="R44" s="289"/>
      <c r="S44" s="95"/>
    </row>
    <row r="45" spans="2:19">
      <c r="B45" s="76">
        <v>2021</v>
      </c>
      <c r="C45" s="289" t="s">
        <v>247</v>
      </c>
      <c r="D45" s="289" t="s">
        <v>244</v>
      </c>
      <c r="E45" s="76">
        <v>6.0653649999999999</v>
      </c>
      <c r="F45" s="289">
        <v>6.0154490000000003</v>
      </c>
      <c r="G45" s="95">
        <v>6.3798219999999999</v>
      </c>
      <c r="H45" s="76" t="s">
        <v>245</v>
      </c>
      <c r="I45" s="289"/>
      <c r="J45" s="95"/>
      <c r="K45" s="289"/>
      <c r="L45" s="289"/>
      <c r="M45" s="289"/>
      <c r="N45" s="289"/>
      <c r="O45" s="289"/>
      <c r="P45" s="289"/>
      <c r="Q45" s="289"/>
      <c r="R45" s="289"/>
      <c r="S45" s="95"/>
    </row>
    <row r="46" spans="2:19">
      <c r="B46" s="76">
        <v>2021</v>
      </c>
      <c r="C46" s="289" t="s">
        <v>247</v>
      </c>
      <c r="D46" s="289" t="s">
        <v>246</v>
      </c>
      <c r="E46" s="76">
        <v>4.9078369999999998</v>
      </c>
      <c r="F46" s="289">
        <v>4.8600180000000002</v>
      </c>
      <c r="G46" s="95">
        <v>5.167942</v>
      </c>
      <c r="H46" s="76" t="s">
        <v>245</v>
      </c>
      <c r="I46" s="289"/>
      <c r="J46" s="95"/>
      <c r="K46" s="289"/>
      <c r="L46" s="289"/>
      <c r="M46" s="289"/>
      <c r="N46" s="289"/>
      <c r="O46" s="289"/>
      <c r="P46" s="289"/>
      <c r="Q46" s="289"/>
      <c r="R46" s="289"/>
      <c r="S46" s="95"/>
    </row>
    <row r="47" spans="2:19">
      <c r="B47" s="76">
        <v>2025</v>
      </c>
      <c r="C47" s="289" t="s">
        <v>243</v>
      </c>
      <c r="D47" s="289" t="s">
        <v>244</v>
      </c>
      <c r="E47" s="76">
        <v>4.3843560000000004</v>
      </c>
      <c r="F47" s="289">
        <v>4.3557329999999999</v>
      </c>
      <c r="G47" s="95">
        <v>4.5618800000000004</v>
      </c>
      <c r="H47" s="76">
        <v>4.2589920000000001</v>
      </c>
      <c r="I47" s="289">
        <v>4.2413749999999997</v>
      </c>
      <c r="J47" s="95">
        <v>4.3695639999999996</v>
      </c>
      <c r="K47" s="289"/>
      <c r="L47" s="289"/>
      <c r="M47" s="289"/>
      <c r="N47" s="289"/>
      <c r="O47" s="289"/>
      <c r="P47" s="289"/>
      <c r="Q47" s="289"/>
      <c r="R47" s="289"/>
      <c r="S47" s="95"/>
    </row>
    <row r="48" spans="2:19">
      <c r="B48" s="76">
        <v>2025</v>
      </c>
      <c r="C48" s="289" t="s">
        <v>243</v>
      </c>
      <c r="D48" s="289" t="s">
        <v>246</v>
      </c>
      <c r="E48" s="76">
        <v>7.8179679999999996</v>
      </c>
      <c r="F48" s="289">
        <v>7.7726329999999999</v>
      </c>
      <c r="G48" s="95">
        <v>8.0561159999999994</v>
      </c>
      <c r="H48" s="76">
        <v>5.3245690000000003</v>
      </c>
      <c r="I48" s="289">
        <v>5.2792260000000004</v>
      </c>
      <c r="J48" s="95">
        <v>5.5713280000000003</v>
      </c>
      <c r="K48" s="289"/>
      <c r="L48" s="289"/>
      <c r="M48" s="289"/>
      <c r="N48" s="289"/>
      <c r="O48" s="289"/>
      <c r="P48" s="289"/>
      <c r="Q48" s="289"/>
      <c r="R48" s="289"/>
      <c r="S48" s="95"/>
    </row>
    <row r="49" spans="2:19">
      <c r="B49" s="76">
        <v>2025</v>
      </c>
      <c r="C49" s="289" t="s">
        <v>247</v>
      </c>
      <c r="D49" s="289" t="s">
        <v>244</v>
      </c>
      <c r="E49" s="76">
        <v>4.9001809999999999</v>
      </c>
      <c r="F49" s="289">
        <v>4.8624000000000001</v>
      </c>
      <c r="G49" s="95">
        <v>5.1404129999999997</v>
      </c>
      <c r="H49" s="76">
        <v>4.5954499999999996</v>
      </c>
      <c r="I49" s="289">
        <v>4.5658589999999997</v>
      </c>
      <c r="J49" s="95">
        <v>4.7851150000000002</v>
      </c>
      <c r="K49" s="289"/>
      <c r="L49" s="289"/>
      <c r="M49" s="289"/>
      <c r="N49" s="289"/>
      <c r="O49" s="289"/>
      <c r="P49" s="289"/>
      <c r="Q49" s="289"/>
      <c r="R49" s="289"/>
      <c r="S49" s="95"/>
    </row>
    <row r="50" spans="2:19" ht="15.75" thickBot="1">
      <c r="B50" s="76">
        <v>2025</v>
      </c>
      <c r="C50" s="289" t="s">
        <v>247</v>
      </c>
      <c r="D50" s="289" t="s">
        <v>246</v>
      </c>
      <c r="E50" s="81">
        <v>6.603834</v>
      </c>
      <c r="F50" s="97">
        <v>6.5392130000000002</v>
      </c>
      <c r="G50" s="98">
        <v>6.9724279999999998</v>
      </c>
      <c r="H50" s="81">
        <v>5.3783219999999998</v>
      </c>
      <c r="I50" s="97">
        <v>5.3279550000000002</v>
      </c>
      <c r="J50" s="98">
        <v>5.6539250000000001</v>
      </c>
      <c r="K50" s="289"/>
      <c r="L50" s="289"/>
      <c r="M50" s="289"/>
      <c r="N50" s="289"/>
      <c r="O50" s="289"/>
      <c r="P50" s="289"/>
      <c r="Q50" s="289"/>
      <c r="R50" s="289"/>
      <c r="S50" s="95"/>
    </row>
    <row r="51" spans="2:19">
      <c r="B51" s="76">
        <v>2031</v>
      </c>
      <c r="C51" s="289" t="s">
        <v>243</v>
      </c>
      <c r="D51" s="289" t="s">
        <v>244</v>
      </c>
      <c r="E51" s="289"/>
      <c r="F51" s="289"/>
      <c r="G51" s="289"/>
      <c r="H51" s="289"/>
      <c r="I51" s="289"/>
      <c r="J51" s="289"/>
      <c r="K51" s="289"/>
      <c r="L51" s="289"/>
      <c r="M51" s="289"/>
      <c r="N51" s="289"/>
      <c r="O51" s="289"/>
      <c r="P51" s="289"/>
      <c r="Q51" s="289"/>
      <c r="R51" s="289"/>
      <c r="S51" s="95"/>
    </row>
    <row r="52" spans="2:19">
      <c r="B52" s="76">
        <v>2031</v>
      </c>
      <c r="C52" s="289" t="s">
        <v>243</v>
      </c>
      <c r="D52" s="289" t="s">
        <v>246</v>
      </c>
      <c r="E52" s="289"/>
      <c r="F52" s="289"/>
      <c r="G52" s="289"/>
      <c r="H52" s="289"/>
      <c r="I52" s="289"/>
      <c r="J52" s="289"/>
      <c r="K52" s="289"/>
      <c r="L52" s="289"/>
      <c r="M52" s="289"/>
      <c r="N52" s="289"/>
      <c r="O52" s="289"/>
      <c r="P52" s="289"/>
      <c r="Q52" s="289"/>
      <c r="R52" s="289"/>
      <c r="S52" s="95"/>
    </row>
    <row r="53" spans="2:19">
      <c r="B53" s="76">
        <v>2031</v>
      </c>
      <c r="C53" s="289" t="s">
        <v>247</v>
      </c>
      <c r="D53" s="289" t="s">
        <v>244</v>
      </c>
      <c r="E53" s="289"/>
      <c r="F53" s="289"/>
      <c r="G53" s="289"/>
      <c r="H53" s="289"/>
      <c r="I53" s="289"/>
      <c r="J53" s="289"/>
      <c r="K53" s="289"/>
      <c r="L53" s="289"/>
      <c r="M53" s="289"/>
      <c r="N53" s="289"/>
      <c r="O53" s="289"/>
      <c r="P53" s="289"/>
      <c r="Q53" s="289"/>
      <c r="R53" s="289"/>
      <c r="S53" s="95"/>
    </row>
    <row r="54" spans="2:19">
      <c r="B54" s="76">
        <v>2031</v>
      </c>
      <c r="C54" s="289" t="s">
        <v>247</v>
      </c>
      <c r="D54" s="289" t="s">
        <v>246</v>
      </c>
      <c r="E54" s="289"/>
      <c r="F54" s="289"/>
      <c r="G54" s="289"/>
      <c r="H54" s="289"/>
      <c r="I54" s="289"/>
      <c r="J54" s="289"/>
      <c r="K54" s="289"/>
      <c r="L54" s="289"/>
      <c r="M54" s="289"/>
      <c r="N54" s="289"/>
      <c r="O54" s="289"/>
      <c r="P54" s="289"/>
      <c r="Q54" s="289"/>
      <c r="R54" s="289"/>
      <c r="S54" s="95"/>
    </row>
    <row r="55" spans="2:19">
      <c r="B55" s="76">
        <v>2051</v>
      </c>
      <c r="C55" s="289" t="s">
        <v>243</v>
      </c>
      <c r="D55" s="289" t="s">
        <v>244</v>
      </c>
      <c r="E55" s="289"/>
      <c r="F55" s="289"/>
      <c r="G55" s="289"/>
      <c r="H55" s="289"/>
      <c r="I55" s="289"/>
      <c r="J55" s="289"/>
      <c r="K55" s="289"/>
      <c r="L55" s="289"/>
      <c r="M55" s="289"/>
      <c r="N55" s="289"/>
      <c r="O55" s="289"/>
      <c r="P55" s="289"/>
      <c r="Q55" s="289"/>
      <c r="R55" s="289"/>
      <c r="S55" s="95"/>
    </row>
    <row r="56" spans="2:19">
      <c r="B56" s="76">
        <v>2051</v>
      </c>
      <c r="C56" s="289" t="s">
        <v>243</v>
      </c>
      <c r="D56" s="289" t="s">
        <v>246</v>
      </c>
      <c r="E56" s="289"/>
      <c r="F56" s="289"/>
      <c r="G56" s="289"/>
      <c r="H56" s="289"/>
      <c r="I56" s="289"/>
      <c r="J56" s="289"/>
      <c r="K56" s="289"/>
      <c r="L56" s="289"/>
      <c r="M56" s="289"/>
      <c r="N56" s="289"/>
      <c r="O56" s="289"/>
      <c r="P56" s="289"/>
      <c r="Q56" s="289"/>
      <c r="R56" s="289"/>
      <c r="S56" s="95"/>
    </row>
    <row r="57" spans="2:19">
      <c r="B57" s="76">
        <v>2051</v>
      </c>
      <c r="C57" s="289" t="s">
        <v>247</v>
      </c>
      <c r="D57" s="289" t="s">
        <v>244</v>
      </c>
      <c r="E57" s="289"/>
      <c r="F57" s="289"/>
      <c r="G57" s="289"/>
      <c r="H57" s="289"/>
      <c r="I57" s="289"/>
      <c r="J57" s="289"/>
      <c r="K57" s="289"/>
      <c r="L57" s="289"/>
      <c r="M57" s="289"/>
      <c r="N57" s="289"/>
      <c r="O57" s="289"/>
      <c r="P57" s="289"/>
      <c r="Q57" s="289"/>
      <c r="R57" s="289"/>
      <c r="S57" s="95"/>
    </row>
    <row r="58" spans="2:19" ht="15.75" thickBot="1">
      <c r="B58" s="76">
        <v>2051</v>
      </c>
      <c r="C58" s="289" t="s">
        <v>247</v>
      </c>
      <c r="D58" s="289" t="s">
        <v>246</v>
      </c>
      <c r="E58" s="289"/>
      <c r="F58" s="289"/>
      <c r="G58" s="289"/>
      <c r="H58" s="289"/>
      <c r="I58" s="289"/>
      <c r="J58" s="289"/>
      <c r="K58" s="289"/>
      <c r="L58" s="289"/>
      <c r="M58" s="289"/>
      <c r="N58" s="289"/>
      <c r="O58" s="289"/>
      <c r="P58" s="289"/>
      <c r="Q58" s="289"/>
      <c r="R58" s="289"/>
      <c r="S58" s="95"/>
    </row>
    <row r="59" spans="2:19">
      <c r="B59" s="342" t="s">
        <v>248</v>
      </c>
      <c r="C59" s="341"/>
      <c r="D59" s="341"/>
      <c r="E59" s="341"/>
      <c r="F59" s="341"/>
      <c r="G59" s="341"/>
      <c r="H59" s="341"/>
      <c r="I59" s="341"/>
      <c r="J59" s="341"/>
      <c r="K59" s="341"/>
      <c r="L59" s="342" t="s">
        <v>320</v>
      </c>
      <c r="M59" s="341"/>
      <c r="N59" s="341"/>
      <c r="O59" s="343"/>
      <c r="P59" s="289"/>
      <c r="Q59" s="289"/>
      <c r="R59" s="289"/>
      <c r="S59" s="95"/>
    </row>
    <row r="60" spans="2:19" ht="15.75" thickBot="1">
      <c r="B60" s="344"/>
      <c r="C60" s="345"/>
      <c r="D60" s="345"/>
      <c r="E60" s="345"/>
      <c r="F60" s="345"/>
      <c r="G60" s="345"/>
      <c r="H60" s="345"/>
      <c r="I60" s="345"/>
      <c r="J60" s="345"/>
      <c r="K60" s="345"/>
      <c r="L60" s="349">
        <v>2025</v>
      </c>
      <c r="M60" s="351"/>
      <c r="N60" s="345"/>
      <c r="O60" s="346"/>
      <c r="P60" s="289"/>
      <c r="Q60" s="289"/>
      <c r="R60" s="289"/>
      <c r="S60" s="95"/>
    </row>
    <row r="61" spans="2:19">
      <c r="B61" s="344"/>
      <c r="C61" s="345"/>
      <c r="D61" s="345"/>
      <c r="E61" s="446" t="s">
        <v>228</v>
      </c>
      <c r="F61" s="447"/>
      <c r="G61" s="448"/>
      <c r="H61" s="446" t="s">
        <v>50</v>
      </c>
      <c r="I61" s="447"/>
      <c r="J61" s="448"/>
      <c r="K61" s="345"/>
      <c r="L61" s="454" t="s">
        <v>237</v>
      </c>
      <c r="M61" s="455"/>
      <c r="N61" s="456" t="s">
        <v>238</v>
      </c>
      <c r="O61" s="457"/>
      <c r="P61" s="289"/>
      <c r="Q61" s="289"/>
      <c r="R61" s="289"/>
      <c r="S61" s="95"/>
    </row>
    <row r="62" spans="2:19">
      <c r="B62" s="344" t="s">
        <v>1</v>
      </c>
      <c r="C62" s="345" t="s">
        <v>240</v>
      </c>
      <c r="D62" s="345"/>
      <c r="E62" s="359" t="s">
        <v>242</v>
      </c>
      <c r="F62" s="354" t="s">
        <v>234</v>
      </c>
      <c r="G62" s="360" t="s">
        <v>235</v>
      </c>
      <c r="H62" s="359" t="s">
        <v>242</v>
      </c>
      <c r="I62" s="354" t="s">
        <v>234</v>
      </c>
      <c r="J62" s="360" t="s">
        <v>235</v>
      </c>
      <c r="K62" s="345"/>
      <c r="L62" s="353" t="s">
        <v>234</v>
      </c>
      <c r="M62" s="360" t="s">
        <v>235</v>
      </c>
      <c r="N62" s="359" t="s">
        <v>234</v>
      </c>
      <c r="O62" s="357" t="s">
        <v>235</v>
      </c>
      <c r="P62" s="289"/>
      <c r="Q62" s="289"/>
      <c r="R62" s="289"/>
      <c r="S62" s="95"/>
    </row>
    <row r="63" spans="2:19">
      <c r="B63" s="344">
        <v>2021</v>
      </c>
      <c r="C63" s="345" t="s">
        <v>243</v>
      </c>
      <c r="D63" s="345"/>
      <c r="E63" s="361">
        <v>4901.9100250000001</v>
      </c>
      <c r="F63" s="352">
        <v>4358.5252860000001</v>
      </c>
      <c r="G63" s="362">
        <v>543.38473599999998</v>
      </c>
      <c r="H63" s="443" t="s">
        <v>245</v>
      </c>
      <c r="I63" s="444"/>
      <c r="J63" s="445"/>
      <c r="K63" s="345"/>
      <c r="L63" s="349"/>
      <c r="M63" s="367"/>
      <c r="N63" s="366"/>
      <c r="O63" s="355"/>
      <c r="P63" s="289"/>
      <c r="Q63" s="289"/>
      <c r="R63" s="289"/>
      <c r="S63" s="95"/>
    </row>
    <row r="64" spans="2:19">
      <c r="B64" s="344">
        <v>2021</v>
      </c>
      <c r="C64" s="345" t="s">
        <v>247</v>
      </c>
      <c r="D64" s="345"/>
      <c r="E64" s="361">
        <v>4805.7896840000003</v>
      </c>
      <c r="F64" s="352">
        <v>4284.2222030000003</v>
      </c>
      <c r="G64" s="362">
        <v>521.56748100000004</v>
      </c>
      <c r="H64" s="443" t="s">
        <v>245</v>
      </c>
      <c r="I64" s="444"/>
      <c r="J64" s="445"/>
      <c r="K64" s="345"/>
      <c r="L64" s="349"/>
      <c r="M64" s="367"/>
      <c r="N64" s="366"/>
      <c r="O64" s="355"/>
      <c r="P64" s="289"/>
      <c r="Q64" s="289"/>
      <c r="R64" s="289"/>
      <c r="S64" s="95"/>
    </row>
    <row r="65" spans="2:19">
      <c r="B65" s="344">
        <v>2025</v>
      </c>
      <c r="C65" s="345" t="s">
        <v>243</v>
      </c>
      <c r="D65" s="345"/>
      <c r="E65" s="361">
        <v>5253.3091439999998</v>
      </c>
      <c r="F65" s="352">
        <v>4672.2454829999997</v>
      </c>
      <c r="G65" s="362">
        <v>581.06365300000004</v>
      </c>
      <c r="H65" s="361">
        <v>4975.2283170000001</v>
      </c>
      <c r="I65" s="352">
        <v>4433.7661609999996</v>
      </c>
      <c r="J65" s="362">
        <v>541.46215299999994</v>
      </c>
      <c r="K65" s="345"/>
      <c r="L65" s="350">
        <f>$F65-$I65</f>
        <v>238.47932200000014</v>
      </c>
      <c r="M65" s="362">
        <f>$G65-$J65</f>
        <v>39.601500000000101</v>
      </c>
      <c r="N65" s="361">
        <f>L65*'Look Up Data'!$B$6</f>
        <v>65581.813550000035</v>
      </c>
      <c r="O65" s="356">
        <f>M65*'Look Up Data'!$B$6</f>
        <v>10890.412500000028</v>
      </c>
      <c r="P65" s="289"/>
      <c r="Q65" s="289"/>
      <c r="R65" s="289"/>
      <c r="S65" s="95"/>
    </row>
    <row r="66" spans="2:19">
      <c r="B66" s="344">
        <v>2025</v>
      </c>
      <c r="C66" s="345" t="s">
        <v>247</v>
      </c>
      <c r="D66" s="345"/>
      <c r="E66" s="363">
        <v>5110.1488559999998</v>
      </c>
      <c r="F66" s="364">
        <v>4545.4006829999998</v>
      </c>
      <c r="G66" s="365">
        <v>564.74816699999997</v>
      </c>
      <c r="H66" s="363">
        <v>5021.1762399999998</v>
      </c>
      <c r="I66" s="364">
        <v>4472.1268110000001</v>
      </c>
      <c r="J66" s="365">
        <v>549.04942500000004</v>
      </c>
      <c r="K66" s="345"/>
      <c r="L66" s="368">
        <f>$F66-$I66</f>
        <v>73.273871999999756</v>
      </c>
      <c r="M66" s="365">
        <f>$G66-$J66</f>
        <v>15.698741999999925</v>
      </c>
      <c r="N66" s="363">
        <f>L66*'Look Up Data'!$B$6</f>
        <v>20150.314799999935</v>
      </c>
      <c r="O66" s="369">
        <f>M66*'Look Up Data'!$B$6</f>
        <v>4317.1540499999792</v>
      </c>
      <c r="P66" s="289"/>
      <c r="Q66" s="289"/>
      <c r="R66" s="289"/>
      <c r="S66" s="95"/>
    </row>
    <row r="67" spans="2:19">
      <c r="B67" s="344"/>
      <c r="C67" s="345"/>
      <c r="D67" s="345"/>
      <c r="E67" s="345"/>
      <c r="F67" s="345"/>
      <c r="G67" s="345"/>
      <c r="H67" s="345"/>
      <c r="I67" s="345"/>
      <c r="J67" s="345"/>
      <c r="K67" s="345"/>
      <c r="L67" s="373"/>
      <c r="M67" s="372"/>
      <c r="N67" s="449"/>
      <c r="O67" s="450"/>
      <c r="P67" s="289"/>
      <c r="Q67" s="289"/>
      <c r="R67" s="289"/>
      <c r="S67" s="95"/>
    </row>
    <row r="68" spans="2:19" ht="15.75" thickBot="1">
      <c r="B68" s="347"/>
      <c r="C68" s="348"/>
      <c r="D68" s="348"/>
      <c r="E68" s="348"/>
      <c r="F68" s="348"/>
      <c r="G68" s="348"/>
      <c r="H68" s="348"/>
      <c r="I68" s="348"/>
      <c r="J68" s="348"/>
      <c r="K68" s="348"/>
      <c r="L68" s="347" t="s">
        <v>236</v>
      </c>
      <c r="M68" s="348"/>
      <c r="N68" s="370">
        <f>(N65+N66)*0.63*2</f>
        <v>108022.48172099996</v>
      </c>
      <c r="O68" s="371">
        <f>(O65+O66)*0.63*2</f>
        <v>19161.533853000008</v>
      </c>
      <c r="P68" s="289"/>
      <c r="Q68" s="289"/>
      <c r="R68" s="289"/>
      <c r="S68" s="95"/>
    </row>
    <row r="69" spans="2:19">
      <c r="B69" s="76"/>
      <c r="C69" s="289"/>
      <c r="D69" s="289"/>
      <c r="E69" s="289"/>
      <c r="F69" s="289"/>
      <c r="G69" s="289"/>
      <c r="H69" s="289"/>
      <c r="I69" s="289"/>
      <c r="J69" s="289"/>
      <c r="K69" s="289"/>
      <c r="L69" s="289"/>
      <c r="M69" s="289"/>
      <c r="N69" s="289"/>
      <c r="O69" s="289"/>
      <c r="P69" s="289"/>
      <c r="Q69" s="289"/>
      <c r="R69" s="289"/>
      <c r="S69" s="95"/>
    </row>
    <row r="70" spans="2:19" ht="15.75" thickBot="1">
      <c r="B70" s="81"/>
      <c r="C70" s="97"/>
      <c r="D70" s="97"/>
      <c r="E70" s="97"/>
      <c r="F70" s="97"/>
      <c r="G70" s="97"/>
      <c r="H70" s="97"/>
      <c r="I70" s="97"/>
      <c r="J70" s="97"/>
      <c r="K70" s="97"/>
      <c r="L70" s="97"/>
      <c r="M70" s="97"/>
      <c r="N70" s="97"/>
      <c r="O70" s="97"/>
      <c r="P70" s="97"/>
      <c r="Q70" s="97"/>
      <c r="R70" s="97"/>
      <c r="S70" s="98"/>
    </row>
    <row r="71" spans="2:19">
      <c r="B71" s="16" t="s">
        <v>319</v>
      </c>
    </row>
  </sheetData>
  <mergeCells count="42">
    <mergeCell ref="H64:J64"/>
    <mergeCell ref="E61:G61"/>
    <mergeCell ref="H61:J61"/>
    <mergeCell ref="N67:O67"/>
    <mergeCell ref="J24:N24"/>
    <mergeCell ref="L61:M61"/>
    <mergeCell ref="N61:O61"/>
    <mergeCell ref="H63:J63"/>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A22:A23"/>
    <mergeCell ref="C23:D23"/>
    <mergeCell ref="E23:F23"/>
    <mergeCell ref="G23:H23"/>
    <mergeCell ref="A24:A25"/>
    <mergeCell ref="C25:D25"/>
    <mergeCell ref="E25:F25"/>
    <mergeCell ref="G25:H25"/>
    <mergeCell ref="A18:A19"/>
    <mergeCell ref="C19:D19"/>
    <mergeCell ref="E19:F19"/>
    <mergeCell ref="G19:H19"/>
    <mergeCell ref="A20:A21"/>
    <mergeCell ref="C21:D21"/>
    <mergeCell ref="E21:F21"/>
    <mergeCell ref="G21:H21"/>
  </mergeCells>
  <pageMargins left="0.7" right="0.7" top="0.75" bottom="0.75" header="0.3" footer="0.3"/>
  <pageSetup paperSize="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B9A3-E6B2-43E7-856E-71193CA79F4E}">
  <sheetPr>
    <tabColor theme="9" tint="0.39997558519241921"/>
  </sheetPr>
  <dimension ref="A1:AB29"/>
  <sheetViews>
    <sheetView zoomScale="75" zoomScaleNormal="75" workbookViewId="0">
      <selection activeCell="D6" sqref="D6"/>
    </sheetView>
  </sheetViews>
  <sheetFormatPr defaultColWidth="8.7109375" defaultRowHeight="15"/>
  <cols>
    <col min="1" max="1" width="32.5703125" customWidth="1"/>
    <col min="2" max="3" width="9.5703125" customWidth="1"/>
    <col min="4" max="4" width="16.28515625" customWidth="1"/>
    <col min="5" max="28" width="12.5703125" customWidth="1"/>
  </cols>
  <sheetData>
    <row r="1" spans="1:28" ht="18.75">
      <c r="A1" s="4" t="s">
        <v>151</v>
      </c>
      <c r="B1" s="34"/>
    </row>
    <row r="2" spans="1:28">
      <c r="B2" s="34"/>
    </row>
    <row r="3" spans="1:28">
      <c r="A3" s="1" t="s">
        <v>36</v>
      </c>
      <c r="B3" s="1"/>
      <c r="D3">
        <v>1</v>
      </c>
      <c r="E3">
        <f t="shared" ref="E3:V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si="0"/>
        <v>18</v>
      </c>
      <c r="V3">
        <f t="shared" si="0"/>
        <v>19</v>
      </c>
      <c r="W3">
        <f t="shared" ref="W3:W4" si="1">V3+1</f>
        <v>20</v>
      </c>
      <c r="X3">
        <f t="shared" ref="X3:X4" si="2">W3+1</f>
        <v>21</v>
      </c>
      <c r="Y3">
        <f t="shared" ref="Y3:Y4" si="3">X3+1</f>
        <v>22</v>
      </c>
      <c r="Z3">
        <f t="shared" ref="Z3:Z4" si="4">Y3+1</f>
        <v>23</v>
      </c>
      <c r="AA3">
        <f t="shared" ref="AA3:AA4" si="5">Z3+1</f>
        <v>24</v>
      </c>
      <c r="AB3">
        <f t="shared" ref="AB3:AB4" si="6">AA3+1</f>
        <v>25</v>
      </c>
    </row>
    <row r="4" spans="1:28">
      <c r="C4">
        <v>2026</v>
      </c>
      <c r="D4">
        <f t="shared" ref="D4:U4" si="7">C4+1</f>
        <v>2027</v>
      </c>
      <c r="E4">
        <f t="shared" si="7"/>
        <v>2028</v>
      </c>
      <c r="F4">
        <f t="shared" si="7"/>
        <v>2029</v>
      </c>
      <c r="G4">
        <f t="shared" si="7"/>
        <v>2030</v>
      </c>
      <c r="H4">
        <f t="shared" si="7"/>
        <v>2031</v>
      </c>
      <c r="I4">
        <f t="shared" si="7"/>
        <v>2032</v>
      </c>
      <c r="J4">
        <f t="shared" si="7"/>
        <v>2033</v>
      </c>
      <c r="K4">
        <f t="shared" si="7"/>
        <v>2034</v>
      </c>
      <c r="L4">
        <f t="shared" si="7"/>
        <v>2035</v>
      </c>
      <c r="M4">
        <f t="shared" si="7"/>
        <v>2036</v>
      </c>
      <c r="N4">
        <f t="shared" si="7"/>
        <v>2037</v>
      </c>
      <c r="O4">
        <f t="shared" si="7"/>
        <v>2038</v>
      </c>
      <c r="P4">
        <f t="shared" si="7"/>
        <v>2039</v>
      </c>
      <c r="Q4">
        <f t="shared" si="7"/>
        <v>2040</v>
      </c>
      <c r="R4">
        <f t="shared" si="7"/>
        <v>2041</v>
      </c>
      <c r="S4">
        <f t="shared" si="7"/>
        <v>2042</v>
      </c>
      <c r="T4">
        <f t="shared" si="7"/>
        <v>2043</v>
      </c>
      <c r="U4">
        <f t="shared" si="7"/>
        <v>2044</v>
      </c>
      <c r="V4">
        <f t="shared" si="0"/>
        <v>2045</v>
      </c>
      <c r="W4">
        <f t="shared" si="1"/>
        <v>2046</v>
      </c>
      <c r="X4">
        <f t="shared" si="2"/>
        <v>2047</v>
      </c>
      <c r="Y4">
        <f t="shared" si="3"/>
        <v>2048</v>
      </c>
      <c r="Z4">
        <f t="shared" si="4"/>
        <v>2049</v>
      </c>
      <c r="AA4">
        <f t="shared" si="5"/>
        <v>2050</v>
      </c>
      <c r="AB4">
        <f t="shared" si="6"/>
        <v>2051</v>
      </c>
    </row>
    <row r="5" spans="1:28" ht="15.75">
      <c r="A5" s="204"/>
      <c r="B5" s="34"/>
    </row>
    <row r="6" spans="1:28">
      <c r="A6" t="s">
        <v>152</v>
      </c>
      <c r="C6" s="181"/>
      <c r="D6" s="213">
        <f>'Travel Time Savings - Hours'!E10*'Look Up Data'!K67</f>
        <v>3279630.478043173</v>
      </c>
      <c r="E6" s="213">
        <f>'Travel Time Savings - Hours'!F10*'Look Up Data'!L67</f>
        <v>3314454.4774142355</v>
      </c>
      <c r="F6" s="213">
        <f>'Travel Time Savings - Hours'!G10*'Look Up Data'!M67</f>
        <v>3349648.2473860746</v>
      </c>
      <c r="G6" s="213">
        <f>'Travel Time Savings - Hours'!H10*'Look Up Data'!N67</f>
        <v>3385215.7142824824</v>
      </c>
      <c r="H6" s="213">
        <f>'Travel Time Savings - Hours'!I10*'Look Up Data'!O67</f>
        <v>3421160.8461180115</v>
      </c>
      <c r="I6" s="213">
        <f>'Travel Time Savings - Hours'!J10*'Look Up Data'!P67</f>
        <v>3457487.6530406624</v>
      </c>
      <c r="J6" s="213">
        <f>'Travel Time Savings - Hours'!K10*'Look Up Data'!Q67</f>
        <v>3494200.1877792659</v>
      </c>
      <c r="K6" s="213">
        <f>'Travel Time Savings - Hours'!L10*'Look Up Data'!R67</f>
        <v>3531302.5460956185</v>
      </c>
      <c r="L6" s="213">
        <f>'Travel Time Savings - Hours'!M10*'Look Up Data'!S67</f>
        <v>3568798.8672414194</v>
      </c>
      <c r="M6" s="213">
        <f>'Travel Time Savings - Hours'!N10*'Look Up Data'!T67</f>
        <v>3606693.3344200556</v>
      </c>
      <c r="N6" s="213">
        <f>'Travel Time Savings - Hours'!O10*'Look Up Data'!U67</f>
        <v>3644990.1752532939</v>
      </c>
      <c r="O6" s="213">
        <f>'Travel Time Savings - Hours'!P10*'Look Up Data'!V67</f>
        <v>3683693.6622529272</v>
      </c>
      <c r="P6" s="213">
        <f>'Travel Time Savings - Hours'!Q10*'Look Up Data'!W67</f>
        <v>3722808.1132974308</v>
      </c>
      <c r="Q6" s="213">
        <f>'Travel Time Savings - Hours'!R10*'Look Up Data'!X67</f>
        <v>3762337.8921136735</v>
      </c>
      <c r="R6" s="213">
        <f>'Travel Time Savings - Hours'!S10*'Look Up Data'!Y67</f>
        <v>3802287.4087637509</v>
      </c>
      <c r="S6" s="213">
        <f>'Travel Time Savings - Hours'!T10*'Look Up Data'!Z67</f>
        <v>3842661.1201369879</v>
      </c>
      <c r="T6" s="213">
        <f>'Travel Time Savings - Hours'!U10*'Look Up Data'!AA67</f>
        <v>3883463.5304471566</v>
      </c>
      <c r="U6" s="213">
        <f>'Travel Time Savings - Hours'!V10*'Look Up Data'!AB67</f>
        <v>3924699.1917349868</v>
      </c>
      <c r="V6" s="213">
        <f>'Travel Time Savings - Hours'!W10*'Look Up Data'!AC67</f>
        <v>3966372.7043760004</v>
      </c>
      <c r="W6" s="213">
        <f>'Travel Time Savings - Hours'!X10*'Look Up Data'!AD67</f>
        <v>4008488.7175937453</v>
      </c>
      <c r="X6" s="213">
        <f>'Travel Time Savings - Hours'!Y10*'Look Up Data'!AE67</f>
        <v>4051051.9299784782</v>
      </c>
      <c r="Y6" s="213">
        <f>'Travel Time Savings - Hours'!Z10*'Look Up Data'!AF67</f>
        <v>4094067.0900113494</v>
      </c>
      <c r="Z6" s="213">
        <f>'Travel Time Savings - Hours'!AA10*'Look Up Data'!AG67</f>
        <v>4137538.9965941622</v>
      </c>
      <c r="AA6" s="213">
        <f>'Travel Time Savings - Hours'!AB10*'Look Up Data'!AH67</f>
        <v>4181472.4995847521</v>
      </c>
      <c r="AB6" s="213">
        <f>'Travel Time Savings - Hours'!AC10*'Look Up Data'!AI67</f>
        <v>4225872.5003380487</v>
      </c>
    </row>
    <row r="7" spans="1:28">
      <c r="A7" t="s">
        <v>153</v>
      </c>
      <c r="C7" s="181"/>
      <c r="D7" s="181">
        <f>'Travel Time Savings - Hours'!E11*'Look Up Data'!E68</f>
        <v>626259.80547639483</v>
      </c>
      <c r="E7" s="181">
        <f>'Travel Time Savings - Hours'!F11*'Look Up Data'!F68</f>
        <v>632909.60069510608</v>
      </c>
      <c r="F7" s="181">
        <f>'Travel Time Savings - Hours'!G11*'Look Up Data'!G68</f>
        <v>639630.005229734</v>
      </c>
      <c r="G7" s="181">
        <f>'Travel Time Savings - Hours'!H11*'Look Up Data'!H68</f>
        <v>646421.76882900472</v>
      </c>
      <c r="H7" s="181">
        <f>'Travel Time Savings - Hours'!I11*'Look Up Data'!I68</f>
        <v>653285.64920267824</v>
      </c>
      <c r="I7" s="181">
        <f>'Travel Time Savings - Hours'!J11*'Look Up Data'!J68</f>
        <v>660222.41210608068</v>
      </c>
      <c r="J7" s="181">
        <f>'Travel Time Savings - Hours'!K11*'Look Up Data'!K68</f>
        <v>667232.83142553444</v>
      </c>
      <c r="K7" s="181">
        <f>'Travel Time Savings - Hours'!L11*'Look Up Data'!L68</f>
        <v>674317.68926469516</v>
      </c>
      <c r="L7" s="181">
        <f>'Travel Time Savings - Hours'!M11*'Look Up Data'!M68</f>
        <v>681477.77603180578</v>
      </c>
      <c r="M7" s="181">
        <f>'Travel Time Savings - Hours'!N11*'Look Up Data'!N68</f>
        <v>688713.89052787668</v>
      </c>
      <c r="N7" s="181">
        <f>'Travel Time Savings - Hours'!O11*'Look Up Data'!O68</f>
        <v>696026.84003580245</v>
      </c>
      <c r="O7" s="181">
        <f>'Travel Time Savings - Hours'!P11*'Look Up Data'!P68</f>
        <v>703417.44041042484</v>
      </c>
      <c r="P7" s="181">
        <f>'Travel Time Savings - Hours'!Q11*'Look Up Data'!Q68</f>
        <v>710886.51616955188</v>
      </c>
      <c r="Q7" s="181">
        <f>'Travel Time Savings - Hours'!R11*'Look Up Data'!R68</f>
        <v>718434.90058594372</v>
      </c>
      <c r="R7" s="181">
        <f>'Travel Time Savings - Hours'!S11*'Look Up Data'!S68</f>
        <v>726063.43578027491</v>
      </c>
      <c r="S7" s="181">
        <f>'Travel Time Savings - Hours'!T11*'Look Up Data'!T68</f>
        <v>733772.97281508427</v>
      </c>
      <c r="T7" s="181">
        <f>'Travel Time Savings - Hours'!U11*'Look Up Data'!U68</f>
        <v>741564.37178972154</v>
      </c>
      <c r="U7" s="181">
        <f>'Travel Time Savings - Hours'!V11*'Look Up Data'!V68</f>
        <v>749438.50193630299</v>
      </c>
      <c r="V7" s="181">
        <f>'Travel Time Savings - Hours'!W11*'Look Up Data'!W68</f>
        <v>757396.24171668559</v>
      </c>
      <c r="W7" s="181">
        <f>'Travel Time Savings - Hours'!X11*'Look Up Data'!X68</f>
        <v>765438.47892047069</v>
      </c>
      <c r="X7" s="181">
        <f>'Travel Time Savings - Hours'!Y11*'Look Up Data'!Y68</f>
        <v>773566.11076404876</v>
      </c>
      <c r="Y7" s="181">
        <f>'Travel Time Savings - Hours'!Z11*'Look Up Data'!Z68</f>
        <v>781780.0439906955</v>
      </c>
      <c r="Z7" s="181">
        <f>'Travel Time Savings - Hours'!AA11*'Look Up Data'!AA68</f>
        <v>790081.19497173058</v>
      </c>
      <c r="AA7" s="181">
        <f>'Travel Time Savings - Hours'!AB11*'Look Up Data'!AB68</f>
        <v>798470.48980875127</v>
      </c>
      <c r="AB7" s="181">
        <f>'Travel Time Savings - Hours'!AC11*'Look Up Data'!AC68</f>
        <v>806948.86443695088</v>
      </c>
    </row>
    <row r="23" spans="1:2">
      <c r="A23" s="34"/>
    </row>
    <row r="25" spans="1:2">
      <c r="B25" s="19"/>
    </row>
    <row r="27" spans="1:2">
      <c r="B27" s="148"/>
    </row>
    <row r="29" spans="1:2">
      <c r="B29" s="6"/>
    </row>
  </sheetData>
  <pageMargins left="0.7" right="0.7" top="0.75" bottom="0.75" header="0.3" footer="0.3"/>
  <pageSetup paperSize="3" orientation="landscape"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8EB6-6330-420A-A65F-A7BE5EC2B770}">
  <sheetPr>
    <tabColor theme="9" tint="0.39997558519241921"/>
  </sheetPr>
  <dimension ref="A1:AJ92"/>
  <sheetViews>
    <sheetView topLeftCell="A22" zoomScale="75" zoomScaleNormal="75" workbookViewId="0">
      <selection activeCell="K37" sqref="K37"/>
    </sheetView>
  </sheetViews>
  <sheetFormatPr defaultRowHeight="15"/>
  <cols>
    <col min="1" max="1" width="40.5703125" customWidth="1"/>
    <col min="2" max="5" width="11.5703125" customWidth="1"/>
    <col min="6" max="9" width="13.5703125" bestFit="1" customWidth="1"/>
    <col min="10" max="10" width="13.85546875" customWidth="1"/>
    <col min="11" max="19" width="13.5703125" bestFit="1" customWidth="1"/>
    <col min="20" max="20" width="13.42578125" customWidth="1"/>
    <col min="21" max="36" width="13.5703125" bestFit="1" customWidth="1"/>
    <col min="37" max="38" width="11.5703125" customWidth="1"/>
  </cols>
  <sheetData>
    <row r="1" spans="1:36" ht="18.75">
      <c r="A1" s="4" t="s">
        <v>155</v>
      </c>
    </row>
    <row r="2" spans="1:36" ht="18.75">
      <c r="A2" s="4"/>
      <c r="F2">
        <v>97</v>
      </c>
    </row>
    <row r="3" spans="1:36">
      <c r="A3" s="257" t="s">
        <v>156</v>
      </c>
      <c r="B3" s="258" t="s">
        <v>48</v>
      </c>
      <c r="C3" s="458" t="s">
        <v>157</v>
      </c>
      <c r="D3" s="459"/>
      <c r="E3" s="460" t="s">
        <v>158</v>
      </c>
      <c r="F3" s="459"/>
      <c r="G3" s="460" t="s">
        <v>159</v>
      </c>
      <c r="H3" s="458"/>
      <c r="I3" s="460" t="s">
        <v>160</v>
      </c>
      <c r="J3" s="461"/>
    </row>
    <row r="4" spans="1:36">
      <c r="A4" s="245"/>
      <c r="B4" s="246"/>
      <c r="C4" s="246" t="s">
        <v>161</v>
      </c>
      <c r="D4" s="246" t="s">
        <v>162</v>
      </c>
      <c r="E4" s="246" t="s">
        <v>161</v>
      </c>
      <c r="F4" s="246" t="s">
        <v>162</v>
      </c>
      <c r="G4" s="246" t="s">
        <v>161</v>
      </c>
      <c r="H4" s="246" t="s">
        <v>162</v>
      </c>
      <c r="I4" s="240" t="s">
        <v>161</v>
      </c>
      <c r="J4" s="247" t="s">
        <v>162</v>
      </c>
    </row>
    <row r="5" spans="1:36">
      <c r="A5" s="248" t="s">
        <v>163</v>
      </c>
      <c r="B5" s="249">
        <f>SUM(C5,E5,G5,I5)</f>
        <v>2092</v>
      </c>
      <c r="C5" s="250">
        <v>1371</v>
      </c>
      <c r="D5" s="251">
        <f>C5/10</f>
        <v>137.1</v>
      </c>
      <c r="E5" s="250">
        <v>560</v>
      </c>
      <c r="F5" s="251">
        <f>E5/10</f>
        <v>56</v>
      </c>
      <c r="G5" s="250">
        <v>152</v>
      </c>
      <c r="H5" s="251">
        <f>G5/10</f>
        <v>15.2</v>
      </c>
      <c r="I5" s="241">
        <v>9</v>
      </c>
      <c r="J5" s="286">
        <f>I5/10</f>
        <v>0.9</v>
      </c>
    </row>
    <row r="6" spans="1:36">
      <c r="A6" s="248" t="s">
        <v>164</v>
      </c>
      <c r="B6" s="249">
        <f t="shared" ref="B6:B9" si="0">SUM(C6,E6,G6,I6)</f>
        <v>37.862068965517246</v>
      </c>
      <c r="C6" s="250">
        <f>(61/1160)*510</f>
        <v>26.818965517241381</v>
      </c>
      <c r="D6" s="251">
        <f t="shared" ref="D6:D9" si="1">C6/10</f>
        <v>2.681896551724138</v>
      </c>
      <c r="E6" s="250">
        <f>(61/1160)*97</f>
        <v>5.1008620689655171</v>
      </c>
      <c r="F6" s="251">
        <f t="shared" ref="F6:F9" si="2">E6/10</f>
        <v>0.51008620689655171</v>
      </c>
      <c r="G6" s="250">
        <f>(61/1160)*85</f>
        <v>4.4698275862068968</v>
      </c>
      <c r="H6" s="251">
        <f t="shared" ref="H6:H9" si="3">G6/10</f>
        <v>0.4469827586206897</v>
      </c>
      <c r="I6" s="241">
        <f>(61/1160)*28</f>
        <v>1.4724137931034482</v>
      </c>
      <c r="J6" s="286">
        <f t="shared" ref="J6:J9" si="4">I6/10</f>
        <v>0.14724137931034481</v>
      </c>
      <c r="K6" s="19"/>
    </row>
    <row r="7" spans="1:36">
      <c r="A7" s="248" t="s">
        <v>165</v>
      </c>
      <c r="B7" s="249">
        <f t="shared" si="0"/>
        <v>175.0344827586207</v>
      </c>
      <c r="C7" s="250">
        <f>(282/1160)*510</f>
        <v>123.98275862068965</v>
      </c>
      <c r="D7" s="251">
        <f t="shared" si="1"/>
        <v>12.398275862068965</v>
      </c>
      <c r="E7" s="250">
        <f>(282/1160)*97</f>
        <v>23.581034482758618</v>
      </c>
      <c r="F7" s="251">
        <f t="shared" si="2"/>
        <v>2.3581034482758616</v>
      </c>
      <c r="G7" s="250">
        <f>(282/1160)*85</f>
        <v>20.663793103448274</v>
      </c>
      <c r="H7" s="251">
        <f t="shared" si="3"/>
        <v>2.0663793103448276</v>
      </c>
      <c r="I7" s="241">
        <f>(282/1160)*28</f>
        <v>6.8068965517241375</v>
      </c>
      <c r="J7" s="286">
        <f t="shared" si="4"/>
        <v>0.68068965517241375</v>
      </c>
      <c r="K7" s="19"/>
    </row>
    <row r="8" spans="1:36">
      <c r="A8" s="248" t="s">
        <v>166</v>
      </c>
      <c r="B8" s="249">
        <f t="shared" si="0"/>
        <v>502.13793103448279</v>
      </c>
      <c r="C8" s="250">
        <f>(809/1160)*510</f>
        <v>355.68103448275866</v>
      </c>
      <c r="D8" s="251">
        <f t="shared" si="1"/>
        <v>35.568103448275863</v>
      </c>
      <c r="E8" s="250">
        <f>(809/1160)*97</f>
        <v>67.649137931034488</v>
      </c>
      <c r="F8" s="251">
        <f t="shared" si="2"/>
        <v>6.7649137931034486</v>
      </c>
      <c r="G8" s="250">
        <f>(809/1160)*85</f>
        <v>59.280172413793103</v>
      </c>
      <c r="H8" s="251">
        <f t="shared" si="3"/>
        <v>5.92801724137931</v>
      </c>
      <c r="I8" s="241">
        <f>(809/1160)*28</f>
        <v>19.527586206896551</v>
      </c>
      <c r="J8" s="286">
        <f t="shared" si="4"/>
        <v>1.952758620689655</v>
      </c>
      <c r="K8" s="19"/>
    </row>
    <row r="9" spans="1:36">
      <c r="A9" s="252" t="s">
        <v>99</v>
      </c>
      <c r="B9" s="253">
        <f t="shared" si="0"/>
        <v>6</v>
      </c>
      <c r="C9" s="254">
        <v>2</v>
      </c>
      <c r="D9" s="255">
        <f t="shared" si="1"/>
        <v>0.2</v>
      </c>
      <c r="E9" s="254">
        <v>0</v>
      </c>
      <c r="F9" s="255">
        <f t="shared" si="2"/>
        <v>0</v>
      </c>
      <c r="G9" s="254">
        <v>3</v>
      </c>
      <c r="H9" s="255">
        <f t="shared" si="3"/>
        <v>0.3</v>
      </c>
      <c r="I9" s="256">
        <v>1</v>
      </c>
      <c r="J9" s="287">
        <f t="shared" si="4"/>
        <v>0.1</v>
      </c>
      <c r="K9" s="243"/>
    </row>
    <row r="10" spans="1:36">
      <c r="A10" s="155" t="s">
        <v>167</v>
      </c>
    </row>
    <row r="11" spans="1:36">
      <c r="A11" s="223"/>
    </row>
    <row r="12" spans="1:36">
      <c r="A12" s="80" t="s">
        <v>1</v>
      </c>
      <c r="F12" s="244">
        <f t="shared" ref="F12:I12" si="5">G12-1</f>
        <v>2021</v>
      </c>
      <c r="G12" s="244">
        <f t="shared" si="5"/>
        <v>2022</v>
      </c>
      <c r="H12" s="244">
        <f t="shared" si="5"/>
        <v>2023</v>
      </c>
      <c r="I12" s="244">
        <f t="shared" si="5"/>
        <v>2024</v>
      </c>
      <c r="J12" s="244">
        <f>K12-1</f>
        <v>2025</v>
      </c>
      <c r="K12">
        <f>L12-1</f>
        <v>2026</v>
      </c>
      <c r="L12">
        <v>2027</v>
      </c>
      <c r="M12">
        <f t="shared" ref="M12:AJ12" si="6">L12+1</f>
        <v>2028</v>
      </c>
      <c r="N12">
        <f t="shared" si="6"/>
        <v>2029</v>
      </c>
      <c r="O12">
        <f t="shared" si="6"/>
        <v>2030</v>
      </c>
      <c r="P12">
        <f t="shared" si="6"/>
        <v>2031</v>
      </c>
      <c r="Q12">
        <f t="shared" si="6"/>
        <v>2032</v>
      </c>
      <c r="R12">
        <f t="shared" si="6"/>
        <v>2033</v>
      </c>
      <c r="S12">
        <f t="shared" si="6"/>
        <v>2034</v>
      </c>
      <c r="T12">
        <f t="shared" si="6"/>
        <v>2035</v>
      </c>
      <c r="U12">
        <f t="shared" si="6"/>
        <v>2036</v>
      </c>
      <c r="V12">
        <f t="shared" si="6"/>
        <v>2037</v>
      </c>
      <c r="W12">
        <f t="shared" si="6"/>
        <v>2038</v>
      </c>
      <c r="X12">
        <f t="shared" si="6"/>
        <v>2039</v>
      </c>
      <c r="Y12">
        <f t="shared" si="6"/>
        <v>2040</v>
      </c>
      <c r="Z12">
        <f t="shared" si="6"/>
        <v>2041</v>
      </c>
      <c r="AA12">
        <f t="shared" si="6"/>
        <v>2042</v>
      </c>
      <c r="AB12">
        <f t="shared" si="6"/>
        <v>2043</v>
      </c>
      <c r="AC12">
        <f t="shared" si="6"/>
        <v>2044</v>
      </c>
      <c r="AD12">
        <f t="shared" si="6"/>
        <v>2045</v>
      </c>
      <c r="AE12">
        <f t="shared" si="6"/>
        <v>2046</v>
      </c>
      <c r="AF12">
        <f t="shared" si="6"/>
        <v>2047</v>
      </c>
      <c r="AG12">
        <f t="shared" si="6"/>
        <v>2048</v>
      </c>
      <c r="AH12">
        <f t="shared" si="6"/>
        <v>2049</v>
      </c>
      <c r="AI12">
        <f t="shared" si="6"/>
        <v>2050</v>
      </c>
      <c r="AJ12">
        <f t="shared" si="6"/>
        <v>2051</v>
      </c>
    </row>
    <row r="13" spans="1:36">
      <c r="A13" t="s">
        <v>168</v>
      </c>
      <c r="L13">
        <v>1</v>
      </c>
      <c r="M13">
        <f>L13+1</f>
        <v>2</v>
      </c>
      <c r="N13">
        <f t="shared" ref="N13:AJ13" si="7">M13+1</f>
        <v>3</v>
      </c>
      <c r="O13">
        <f t="shared" si="7"/>
        <v>4</v>
      </c>
      <c r="P13">
        <f t="shared" si="7"/>
        <v>5</v>
      </c>
      <c r="Q13">
        <f t="shared" si="7"/>
        <v>6</v>
      </c>
      <c r="R13">
        <f t="shared" si="7"/>
        <v>7</v>
      </c>
      <c r="S13">
        <f t="shared" si="7"/>
        <v>8</v>
      </c>
      <c r="T13">
        <f t="shared" si="7"/>
        <v>9</v>
      </c>
      <c r="U13">
        <f t="shared" si="7"/>
        <v>10</v>
      </c>
      <c r="V13">
        <f t="shared" si="7"/>
        <v>11</v>
      </c>
      <c r="W13">
        <f t="shared" si="7"/>
        <v>12</v>
      </c>
      <c r="X13">
        <f t="shared" si="7"/>
        <v>13</v>
      </c>
      <c r="Y13">
        <f t="shared" si="7"/>
        <v>14</v>
      </c>
      <c r="Z13">
        <f t="shared" si="7"/>
        <v>15</v>
      </c>
      <c r="AA13">
        <f t="shared" si="7"/>
        <v>16</v>
      </c>
      <c r="AB13">
        <f t="shared" si="7"/>
        <v>17</v>
      </c>
      <c r="AC13">
        <f t="shared" si="7"/>
        <v>18</v>
      </c>
      <c r="AD13">
        <f t="shared" si="7"/>
        <v>19</v>
      </c>
      <c r="AE13">
        <f t="shared" si="7"/>
        <v>20</v>
      </c>
      <c r="AF13">
        <f t="shared" si="7"/>
        <v>21</v>
      </c>
      <c r="AG13">
        <f t="shared" si="7"/>
        <v>22</v>
      </c>
      <c r="AH13">
        <f t="shared" si="7"/>
        <v>23</v>
      </c>
      <c r="AI13">
        <f t="shared" si="7"/>
        <v>24</v>
      </c>
      <c r="AJ13">
        <f t="shared" si="7"/>
        <v>25</v>
      </c>
    </row>
    <row r="15" spans="1:36" ht="30" customHeight="1">
      <c r="A15" s="214" t="s">
        <v>255</v>
      </c>
    </row>
    <row r="16" spans="1:36">
      <c r="A16" s="1" t="s">
        <v>163</v>
      </c>
      <c r="B16" s="215"/>
      <c r="C16" s="215"/>
      <c r="D16" s="215"/>
      <c r="E16" s="215"/>
      <c r="F16" s="2">
        <f>($D$5+$F$5+$H$5+$J$5)*(('Look Up Data'!$B$8)^0)</f>
        <v>209.2</v>
      </c>
      <c r="G16" s="2">
        <f>($D$5+$F$5+$H$5+$J$5)*(('Look Up Data'!$B$8)^1)</f>
        <v>211.42134192165847</v>
      </c>
      <c r="H16" s="2">
        <f>($D$5+$F$5+$H$5+$J$5)*(('Look Up Data'!$B$8)^2)</f>
        <v>213.66627064987966</v>
      </c>
      <c r="I16" s="2">
        <f>($D$5+$F$5+$H$5+$J$5)*(('Look Up Data'!$B$8)^3)</f>
        <v>215.93503663572577</v>
      </c>
      <c r="J16" s="2">
        <f>($D$5+$F$5+$H$5+$J$5)*(('Look Up Data'!$B$8)^4)</f>
        <v>218.22789298961584</v>
      </c>
      <c r="K16" s="2">
        <f>($D$5+$F$5+$H$5+$J$5)*(('Look Up Data'!$B$8)^5)</f>
        <v>220.54509550956342</v>
      </c>
      <c r="L16" s="2">
        <f>(D5+F5+H5+J5)*(('Look Up Data'!$B$8)^6)</f>
        <v>222.88690270971432</v>
      </c>
      <c r="M16" s="2">
        <f>L16*'Look Up Data'!$B$8</f>
        <v>225.25357584918709</v>
      </c>
      <c r="N16" s="2">
        <f>M16*'Look Up Data'!$B$8</f>
        <v>227.64537896121996</v>
      </c>
      <c r="O16" s="2">
        <f>N16*'Look Up Data'!$B$8</f>
        <v>230.06257888262718</v>
      </c>
      <c r="P16" s="2">
        <f>O16*'Look Up Data'!$B$8</f>
        <v>232.50544528356809</v>
      </c>
      <c r="Q16" s="2">
        <f>P16*'Look Up Data'!$B$8</f>
        <v>234.97425069763244</v>
      </c>
      <c r="R16" s="2">
        <f>Q16*'Look Up Data'!$B$8</f>
        <v>237.46927055224495</v>
      </c>
      <c r="S16" s="2">
        <f>R16*'Look Up Data'!$B$8</f>
        <v>239.99078319939295</v>
      </c>
      <c r="T16" s="2">
        <f>S16*'Look Up Data'!$B$8</f>
        <v>242.53906994668006</v>
      </c>
      <c r="U16" s="2">
        <f>T16*'Look Up Data'!$B$8</f>
        <v>245.11441508870979</v>
      </c>
      <c r="V16" s="2">
        <f>U16*'Look Up Data'!$B$8</f>
        <v>247.71710593880229</v>
      </c>
      <c r="W16" s="2">
        <f>V16*'Look Up Data'!$B$8</f>
        <v>250.34743286104788</v>
      </c>
      <c r="X16" s="2">
        <f>W16*'Look Up Data'!$B$8</f>
        <v>253.00568930270097</v>
      </c>
      <c r="Y16" s="2">
        <f>X16*'Look Up Data'!$B$8</f>
        <v>255.69217182691793</v>
      </c>
      <c r="Z16" s="2">
        <f>Y16*'Look Up Data'!$B$8</f>
        <v>258.40718014584257</v>
      </c>
      <c r="AA16" s="2">
        <f>Z16*'Look Up Data'!$B$8</f>
        <v>261.1510171540429</v>
      </c>
      <c r="AB16" s="2">
        <f>AA16*'Look Up Data'!$B$8</f>
        <v>263.9239889623031</v>
      </c>
      <c r="AC16" s="2">
        <f>AB16*'Look Up Data'!$B$8</f>
        <v>266.72640493177391</v>
      </c>
      <c r="AD16" s="2">
        <f>AC16*'Look Up Data'!$B$8</f>
        <v>269.55857770848615</v>
      </c>
      <c r="AE16" s="2">
        <f>AD16*'Look Up Data'!$B$8</f>
        <v>272.42082325823037</v>
      </c>
      <c r="AF16" s="2">
        <f>AE16*'Look Up Data'!$B$8</f>
        <v>275.31346090180693</v>
      </c>
      <c r="AG16" s="2">
        <f>AF16*'Look Up Data'!$B$8</f>
        <v>278.23681335065044</v>
      </c>
      <c r="AH16" s="2">
        <f>AG16*'Look Up Data'!$B$8</f>
        <v>281.19120674283238</v>
      </c>
      <c r="AI16" s="2">
        <f>AH16*'Look Up Data'!$B$8</f>
        <v>284.17697067944607</v>
      </c>
      <c r="AJ16" s="2">
        <f>AI16*'Look Up Data'!$B$8</f>
        <v>287.19443826137802</v>
      </c>
    </row>
    <row r="17" spans="1:36">
      <c r="A17" s="1" t="s">
        <v>164</v>
      </c>
      <c r="B17" s="215"/>
      <c r="C17" s="215"/>
      <c r="D17" s="215"/>
      <c r="E17" s="215"/>
      <c r="F17" s="2">
        <f>SUM($D$6,$F$6,$H$6,$J$6)*(('Look Up Data'!$B$8)^0)</f>
        <v>3.7862068965517239</v>
      </c>
      <c r="G17" s="2">
        <f>SUM($D$6,$F$6,$H$6,$J$6)*(('Look Up Data'!$B$8)^1)</f>
        <v>3.8264098607170336</v>
      </c>
      <c r="H17" s="2">
        <f>SUM($D$6,$F$6,$H$6,$J$6)*(('Look Up Data'!$B$8)^2)</f>
        <v>3.8670397107794532</v>
      </c>
      <c r="I17" s="2">
        <f>SUM($D$6,$F$6,$H$6,$J$6)*(('Look Up Data'!$B$8)^3)</f>
        <v>3.9081009795283661</v>
      </c>
      <c r="J17" s="2">
        <f>SUM($D$6,$F$6,$H$6,$J$6)*(('Look Up Data'!$B$8)^4)</f>
        <v>3.9495982478835332</v>
      </c>
      <c r="K17" s="2">
        <f>SUM($D$6,$F$6,$H$6,$J$6)*(('Look Up Data'!$B$8)^5)</f>
        <v>3.9915361454061555</v>
      </c>
      <c r="L17" s="2">
        <f>SUM(D6,F6,H6,J6)*(('Look Up Data'!$B$8)^6)</f>
        <v>4.0339193508153608</v>
      </c>
      <c r="M17" s="2">
        <f>L17*('Look Up Data'!$B$8)</f>
        <v>4.0767525925101769</v>
      </c>
      <c r="N17" s="2">
        <f>M17*('Look Up Data'!$B$8)</f>
        <v>4.1200406490970449</v>
      </c>
      <c r="O17" s="2">
        <f>N17*('Look Up Data'!$B$8)</f>
        <v>4.1637883499229353</v>
      </c>
      <c r="P17" s="2">
        <f>O17*('Look Up Data'!$B$8)</f>
        <v>4.2080005756141254</v>
      </c>
      <c r="Q17" s="2">
        <f>P17*('Look Up Data'!$B$8)</f>
        <v>4.2526822586206965</v>
      </c>
      <c r="R17" s="2">
        <f>Q17*('Look Up Data'!$B$8)</f>
        <v>4.2978383837668126</v>
      </c>
      <c r="S17" s="2">
        <f>R17*('Look Up Data'!$B$8)</f>
        <v>4.3434739888068421</v>
      </c>
      <c r="T17" s="2">
        <f>S17*('Look Up Data'!$B$8)</f>
        <v>4.3895941649873862</v>
      </c>
      <c r="U17" s="2">
        <f>T17*('Look Up Data'!$B$8)</f>
        <v>4.4362040576152726</v>
      </c>
      <c r="V17" s="2">
        <f>U17*('Look Up Data'!$B$8)</f>
        <v>4.4833088666315835</v>
      </c>
      <c r="W17" s="2">
        <f>V17*('Look Up Data'!$B$8)</f>
        <v>4.5309138471917745</v>
      </c>
      <c r="X17" s="2">
        <f>W17*('Look Up Data'!$B$8)</f>
        <v>4.5790243102519561</v>
      </c>
      <c r="Y17" s="2">
        <f>X17*('Look Up Data'!$B$8)</f>
        <v>4.6276456231614018</v>
      </c>
      <c r="Z17" s="2">
        <f>Y17*('Look Up Data'!$B$8)</f>
        <v>4.6767832102613438</v>
      </c>
      <c r="AA17" s="2">
        <f>Z17*('Look Up Data'!$B$8)</f>
        <v>4.7264425534901298</v>
      </c>
      <c r="AB17" s="2">
        <f>AA17*('Look Up Data'!$B$8)</f>
        <v>4.7766291929948057</v>
      </c>
      <c r="AC17" s="2">
        <f>AB17*('Look Up Data'!$B$8)</f>
        <v>4.8273487277491895</v>
      </c>
      <c r="AD17" s="2">
        <f>AC17*('Look Up Data'!$B$8)</f>
        <v>4.878606816178511</v>
      </c>
      <c r="AE17" s="2">
        <f>AD17*('Look Up Data'!$B$8)</f>
        <v>4.9304091767906817</v>
      </c>
      <c r="AF17" s="2">
        <f>AE17*('Look Up Data'!$B$8)</f>
        <v>4.9827615888142702</v>
      </c>
      <c r="AG17" s="2">
        <f>AF17*('Look Up Data'!$B$8)</f>
        <v>5.0356698928432504</v>
      </c>
      <c r="AH17" s="2">
        <f>AG17*('Look Up Data'!$B$8)</f>
        <v>5.0891399914885955</v>
      </c>
      <c r="AI17" s="2">
        <f>AH17*('Look Up Data'!$B$8)</f>
        <v>5.14317785003679</v>
      </c>
      <c r="AJ17" s="2">
        <f>AI17*('Look Up Data'!$B$8)</f>
        <v>5.1977894971153367</v>
      </c>
    </row>
    <row r="18" spans="1:36">
      <c r="A18" s="1" t="s">
        <v>165</v>
      </c>
      <c r="B18" s="215"/>
      <c r="C18" s="215"/>
      <c r="D18" s="215"/>
      <c r="E18" s="215"/>
      <c r="F18" s="2">
        <f>SUM($D$7,$F$7,$H$7,$J$7)*(('Look Up Data'!$B$8)^0)</f>
        <v>17.50344827586207</v>
      </c>
      <c r="G18" s="2">
        <f>SUM($D$7,$F$7,$H$7,$J$7)*(('Look Up Data'!$B$8)^1)</f>
        <v>17.689304602003336</v>
      </c>
      <c r="H18" s="2">
        <f>SUM($D$7,$F$7,$H$7,$J$7)*(('Look Up Data'!$B$8)^2)</f>
        <v>17.877134400652555</v>
      </c>
      <c r="I18" s="2">
        <f>SUM($D$7,$F$7,$H$7,$J$7)*(('Look Up Data'!$B$8)^3)</f>
        <v>18.066958626672118</v>
      </c>
      <c r="J18" s="2">
        <f>SUM($D$7,$F$7,$H$7,$J$7)*(('Look Up Data'!$B$8)^4)</f>
        <v>18.258798457428796</v>
      </c>
      <c r="K18" s="2">
        <f>SUM($D$7,$F$7,$H$7,$J$7)*(('Look Up Data'!$B$8)^5)</f>
        <v>18.452675295156329</v>
      </c>
      <c r="L18" s="2">
        <f>SUM(D7,F7,H7,J7)*(('Look Up Data'!$B$8)^6)</f>
        <v>18.648610769343147</v>
      </c>
      <c r="M18" s="2">
        <f>L18*'Look Up Data'!$B$8</f>
        <v>18.84662673914541</v>
      </c>
      <c r="N18" s="2">
        <f>M18*'Look Up Data'!$B$8</f>
        <v>19.046745295825684</v>
      </c>
      <c r="O18" s="2">
        <f>N18*'Look Up Data'!$B$8</f>
        <v>19.248988765217504</v>
      </c>
      <c r="P18" s="2">
        <f>O18*'Look Up Data'!$B$8</f>
        <v>19.453379710216122</v>
      </c>
      <c r="Q18" s="2">
        <f>P18*'Look Up Data'!$B$8</f>
        <v>19.65994093329568</v>
      </c>
      <c r="R18" s="2">
        <f>Q18*'Look Up Data'!$B$8</f>
        <v>19.868695479053134</v>
      </c>
      <c r="S18" s="2">
        <f>R18*'Look Up Data'!$B$8</f>
        <v>20.079666636779169</v>
      </c>
      <c r="T18" s="2">
        <f>S18*'Look Up Data'!$B$8</f>
        <v>20.292877943056439</v>
      </c>
      <c r="U18" s="2">
        <f>T18*'Look Up Data'!$B$8</f>
        <v>20.50835318438536</v>
      </c>
      <c r="V18" s="2">
        <f>U18*'Look Up Data'!$B$8</f>
        <v>20.726116399837814</v>
      </c>
      <c r="W18" s="2">
        <f>V18*'Look Up Data'!$B$8</f>
        <v>20.946191883739022</v>
      </c>
      <c r="X18" s="2">
        <f>W18*'Look Up Data'!$B$8</f>
        <v>21.168604188377895</v>
      </c>
      <c r="Y18" s="2">
        <f>X18*'Look Up Data'!$B$8</f>
        <v>21.39337812674615</v>
      </c>
      <c r="Z18" s="2">
        <f>Y18*'Look Up Data'!$B$8</f>
        <v>21.620538775306535</v>
      </c>
      <c r="AA18" s="2">
        <f>Z18*'Look Up Data'!$B$8</f>
        <v>21.850111476790431</v>
      </c>
      <c r="AB18" s="2">
        <f>AA18*'Look Up Data'!$B$8</f>
        <v>22.082121843025163</v>
      </c>
      <c r="AC18" s="2">
        <f>AB18*'Look Up Data'!$B$8</f>
        <v>22.31659575779133</v>
      </c>
      <c r="AD18" s="2">
        <f>AC18*'Look Up Data'!$B$8</f>
        <v>22.553559379710485</v>
      </c>
      <c r="AE18" s="2">
        <f>AD18*'Look Up Data'!$B$8</f>
        <v>22.793039145163473</v>
      </c>
      <c r="AF18" s="2">
        <f>AE18*'Look Up Data'!$B$8</f>
        <v>23.035061771239736</v>
      </c>
      <c r="AG18" s="2">
        <f>AF18*'Look Up Data'!$B$8</f>
        <v>23.279654258717972</v>
      </c>
      <c r="AH18" s="2">
        <f>AG18*'Look Up Data'!$B$8</f>
        <v>23.526843895078418</v>
      </c>
      <c r="AI18" s="2">
        <f>AH18*'Look Up Data'!$B$8</f>
        <v>23.776658257547119</v>
      </c>
      <c r="AJ18" s="2">
        <f>AI18*'Look Up Data'!$B$8</f>
        <v>24.029125216172535</v>
      </c>
    </row>
    <row r="19" spans="1:36">
      <c r="A19" s="1" t="s">
        <v>166</v>
      </c>
      <c r="B19" s="215"/>
      <c r="C19" s="215"/>
      <c r="D19" s="215"/>
      <c r="E19" s="215"/>
      <c r="F19" s="2">
        <f>SUM($D$8,$F$8,$H$8,$J$8)*(('Look Up Data'!$B$8)^0)</f>
        <v>50.213793103448275</v>
      </c>
      <c r="G19" s="2">
        <f>SUM($D$8,$F$8,$H$8,$J$8)*(('Look Up Data'!$B$8)^1)</f>
        <v>50.746976677378363</v>
      </c>
      <c r="H19" s="2">
        <f>SUM($D$8,$F$8,$H$8,$J$8)*(('Look Up Data'!$B$8)^2)</f>
        <v>51.285821738042259</v>
      </c>
      <c r="I19" s="2">
        <f>SUM($D$8,$F$8,$H$8,$J$8)*(('Look Up Data'!$B$8)^3)</f>
        <v>51.830388400630298</v>
      </c>
      <c r="J19" s="2">
        <f>SUM($D$8,$F$8,$H$8,$J$8)*(('Look Up Data'!$B$8)^4)</f>
        <v>52.380737418652103</v>
      </c>
      <c r="K19" s="2">
        <f>SUM($D$8,$F$8,$H$8,$J$8)*(('Look Up Data'!$B$8)^5)</f>
        <v>52.936930190714428</v>
      </c>
      <c r="L19" s="2">
        <f>SUM(D8,F8,H8,J8)*(('Look Up Data'!$B$8)^6)</f>
        <v>53.499028767370937</v>
      </c>
      <c r="M19" s="2">
        <f>L19*'Look Up Data'!$B$8</f>
        <v>54.067095858044809</v>
      </c>
      <c r="N19" s="2">
        <f>M19*'Look Up Data'!$B$8</f>
        <v>54.641194838024745</v>
      </c>
      <c r="O19" s="2">
        <f>N19*'Look Up Data'!$B$8</f>
        <v>55.221389755535327</v>
      </c>
      <c r="P19" s="2">
        <f>O19*'Look Up Data'!$B$8</f>
        <v>55.807745338882427</v>
      </c>
      <c r="Q19" s="2">
        <f>P19*'Look Up Data'!$B$8</f>
        <v>56.400327003674491</v>
      </c>
      <c r="R19" s="2">
        <f>Q19*'Look Up Data'!$B$8</f>
        <v>56.999200860120517</v>
      </c>
      <c r="S19" s="2">
        <f>R19*'Look Up Data'!$B$8</f>
        <v>57.604433720405495</v>
      </c>
      <c r="T19" s="2">
        <f>S19*'Look Up Data'!$B$8</f>
        <v>58.216093106144186</v>
      </c>
      <c r="U19" s="2">
        <f>T19*'Look Up Data'!$B$8</f>
        <v>58.834247255914029</v>
      </c>
      <c r="V19" s="2">
        <f>U19*'Look Up Data'!$B$8</f>
        <v>59.458965132868052</v>
      </c>
      <c r="W19" s="2">
        <f>V19*'Look Up Data'!$B$8</f>
        <v>60.090316432428615</v>
      </c>
      <c r="X19" s="2">
        <f>W19*'Look Up Data'!$B$8</f>
        <v>60.728371590062828</v>
      </c>
      <c r="Y19" s="2">
        <f>X19*'Look Up Data'!$B$8</f>
        <v>61.373201789140552</v>
      </c>
      <c r="Z19" s="2">
        <f>Y19*'Look Up Data'!$B$8</f>
        <v>62.024878968875846</v>
      </c>
      <c r="AA19" s="2">
        <f>Z19*'Look Up Data'!$B$8</f>
        <v>62.683475832352698</v>
      </c>
      <c r="AB19" s="2">
        <f>AA19*'Look Up Data'!$B$8</f>
        <v>63.349065854636024</v>
      </c>
      <c r="AC19" s="2">
        <f>AB19*'Look Up Data'!$B$8</f>
        <v>64.021723290968751</v>
      </c>
      <c r="AD19" s="2">
        <f>AC19*'Look Up Data'!$B$8</f>
        <v>64.701523185055976</v>
      </c>
      <c r="AE19" s="2">
        <f>AD19*'Look Up Data'!$B$8</f>
        <v>65.388541377437065</v>
      </c>
      <c r="AF19" s="2">
        <f>AE19*'Look Up Data'!$B$8</f>
        <v>66.082854513946629</v>
      </c>
      <c r="AG19" s="2">
        <f>AF19*'Look Up Data'!$B$8</f>
        <v>66.784540054265406</v>
      </c>
      <c r="AH19" s="2">
        <f>AG19*'Look Up Data'!$B$8</f>
        <v>67.493676280561871</v>
      </c>
      <c r="AI19" s="2">
        <f>AH19*'Look Up Data'!$B$8</f>
        <v>68.210342306225627</v>
      </c>
      <c r="AJ19" s="2">
        <f>AI19*'Look Up Data'!$B$8</f>
        <v>68.934618084693568</v>
      </c>
    </row>
    <row r="20" spans="1:36">
      <c r="A20" s="1" t="s">
        <v>99</v>
      </c>
      <c r="B20" s="215"/>
      <c r="C20" s="215"/>
      <c r="D20" s="215"/>
      <c r="E20" s="215"/>
      <c r="F20" s="2">
        <f>SUM($D$9,$F$9,$H$9,$J$9)*(('Look Up Data'!$B$8)^0)</f>
        <v>0.6</v>
      </c>
      <c r="G20" s="2">
        <f>SUM($D$9,$F$9,$H$9,$J$9)*(('Look Up Data'!$B$8)^1)</f>
        <v>0.60637096153439329</v>
      </c>
      <c r="H20" s="2">
        <f>SUM($D$9,$F$9,$H$9,$J$9)*(('Look Up Data'!$B$8)^2)</f>
        <v>0.61280957165357453</v>
      </c>
      <c r="I20" s="2">
        <f>SUM($D$9,$F$9,$H$9,$J$9)*(('Look Up Data'!$B$8)^3)</f>
        <v>0.61931654866842956</v>
      </c>
      <c r="J20" s="2">
        <f>SUM($D$9,$F$9,$H$9,$J$9)*(('Look Up Data'!$B$8)^4)</f>
        <v>0.62589261851706268</v>
      </c>
      <c r="K20" s="2">
        <f>SUM($D$9,$F$9,$H$9,$J$9)*(('Look Up Data'!$B$8)^5)</f>
        <v>0.63253851484578427</v>
      </c>
      <c r="L20" s="2">
        <f>SUM(D9,F9,H9,J9)*(('Look Up Data'!$B$8)^6)</f>
        <v>0.63925497909095885</v>
      </c>
      <c r="M20" s="2">
        <f>L20*'Look Up Data'!$B$8</f>
        <v>0.64604276056172205</v>
      </c>
      <c r="N20" s="2">
        <f>M20*'Look Up Data'!$B$8</f>
        <v>0.6529026165235754</v>
      </c>
      <c r="O20" s="2">
        <f>N20*'Look Up Data'!$B$8</f>
        <v>0.65983531228286951</v>
      </c>
      <c r="P20" s="2">
        <f>O20*'Look Up Data'!$B$8</f>
        <v>0.66684162127218383</v>
      </c>
      <c r="Q20" s="2">
        <f>P20*'Look Up Data'!$B$8</f>
        <v>0.6739223251366131</v>
      </c>
      <c r="R20" s="2">
        <f>Q20*'Look Up Data'!$B$8</f>
        <v>0.68107821382097022</v>
      </c>
      <c r="S20" s="2">
        <f>R20*'Look Up Data'!$B$8</f>
        <v>0.68831008565791474</v>
      </c>
      <c r="T20" s="2">
        <f>S20*'Look Up Data'!$B$8</f>
        <v>0.69561874745701735</v>
      </c>
      <c r="U20" s="2">
        <f>T20*'Look Up Data'!$B$8</f>
        <v>0.70300501459476994</v>
      </c>
      <c r="V20" s="2">
        <f>U20*'Look Up Data'!$B$8</f>
        <v>0.71046971110555146</v>
      </c>
      <c r="W20" s="2">
        <f>V20*'Look Up Data'!$B$8</f>
        <v>0.71801366977355985</v>
      </c>
      <c r="X20" s="2">
        <f>W20*'Look Up Data'!$B$8</f>
        <v>0.72563773222571981</v>
      </c>
      <c r="Y20" s="2">
        <f>X20*'Look Up Data'!$B$8</f>
        <v>0.73334274902557728</v>
      </c>
      <c r="Z20" s="2">
        <f>Y20*'Look Up Data'!$B$8</f>
        <v>0.74112957976819094</v>
      </c>
      <c r="AA20" s="2">
        <f>Z20*'Look Up Data'!$B$8</f>
        <v>0.74899909317603131</v>
      </c>
      <c r="AB20" s="2">
        <f>AA20*'Look Up Data'!$B$8</f>
        <v>0.75695216719589797</v>
      </c>
      <c r="AC20" s="2">
        <f>AB20*'Look Up Data'!$B$8</f>
        <v>0.76498968909686582</v>
      </c>
      <c r="AD20" s="2">
        <f>AC20*'Look Up Data'!$B$8</f>
        <v>0.77311255556927194</v>
      </c>
      <c r="AE20" s="2">
        <f>AD20*'Look Up Data'!$B$8</f>
        <v>0.78132167282475251</v>
      </c>
      <c r="AF20" s="2">
        <f>AE20*'Look Up Data'!$B$8</f>
        <v>0.78961795669734314</v>
      </c>
      <c r="AG20" s="2">
        <f>AF20*'Look Up Data'!$B$8</f>
        <v>0.79800233274565158</v>
      </c>
      <c r="AH20" s="2">
        <f>AG20*'Look Up Data'!$B$8</f>
        <v>0.80647573635611602</v>
      </c>
      <c r="AI20" s="2">
        <f>AH20*'Look Up Data'!$B$8</f>
        <v>0.81503911284735997</v>
      </c>
      <c r="AJ20" s="2">
        <f>AI20*'Look Up Data'!$B$8</f>
        <v>0.82369341757565429</v>
      </c>
    </row>
    <row r="21" spans="1:36">
      <c r="A21" s="1"/>
      <c r="B21" s="215"/>
      <c r="C21" s="215"/>
      <c r="D21" s="215"/>
      <c r="E21" s="215"/>
      <c r="F21" s="215"/>
      <c r="G21" s="215"/>
      <c r="H21" s="215"/>
      <c r="I21" s="215"/>
      <c r="J21" s="216"/>
    </row>
    <row r="23" spans="1:36" ht="30" customHeight="1">
      <c r="A23" s="217" t="s">
        <v>169</v>
      </c>
      <c r="J23" s="73"/>
      <c r="K23" s="73"/>
      <c r="L23" s="205"/>
    </row>
    <row r="24" spans="1:36">
      <c r="A24" s="1" t="s">
        <v>163</v>
      </c>
      <c r="B24" s="73"/>
      <c r="C24" s="73"/>
      <c r="D24" s="73"/>
      <c r="E24" s="73"/>
      <c r="F24" s="237"/>
      <c r="G24" s="237"/>
      <c r="H24" s="237"/>
      <c r="I24" s="237"/>
      <c r="J24" s="237"/>
      <c r="K24" s="237">
        <f>K16*(1-'Look Up Data'!$B$12)</f>
        <v>55.136273877390856</v>
      </c>
      <c r="L24" s="237">
        <f>L16*(1-'Look Up Data'!$B$12)</f>
        <v>55.72172567742858</v>
      </c>
      <c r="M24" s="237">
        <f>M16*(1-'Look Up Data'!$B$12)</f>
        <v>56.313393962296772</v>
      </c>
      <c r="N24" s="237">
        <f>N16*(1-'Look Up Data'!$B$12)</f>
        <v>56.91134474030499</v>
      </c>
      <c r="O24" s="237">
        <f>O16*(1-'Look Up Data'!$B$12)</f>
        <v>57.515644720656795</v>
      </c>
      <c r="P24" s="237">
        <f>P16*(1-'Look Up Data'!$B$12)</f>
        <v>58.126361320892023</v>
      </c>
      <c r="Q24" s="237">
        <f>Q16*(1-'Look Up Data'!$B$12)</f>
        <v>58.743562674408111</v>
      </c>
      <c r="R24" s="237">
        <f>R16*(1-'Look Up Data'!$B$12)</f>
        <v>59.367317638061238</v>
      </c>
      <c r="S24" s="237">
        <f>S16*(1-'Look Up Data'!$B$12)</f>
        <v>59.997695799848238</v>
      </c>
      <c r="T24" s="237">
        <f>T16*(1-'Look Up Data'!$B$12)</f>
        <v>60.634767486670015</v>
      </c>
      <c r="U24" s="237">
        <f>U16*(1-'Look Up Data'!$B$12)</f>
        <v>61.278603772177448</v>
      </c>
      <c r="V24" s="237">
        <f>V16*(1-'Look Up Data'!$B$12)</f>
        <v>61.929276484700573</v>
      </c>
      <c r="W24" s="237">
        <f>W16*(1-'Look Up Data'!$B$12)</f>
        <v>62.586858215261969</v>
      </c>
      <c r="X24" s="237">
        <f>X16*(1-'Look Up Data'!$B$12)</f>
        <v>63.251422325675243</v>
      </c>
      <c r="Y24" s="237">
        <f>Y16*(1-'Look Up Data'!$B$12)</f>
        <v>63.923042956729482</v>
      </c>
      <c r="Z24" s="237">
        <f>Z16*(1-'Look Up Data'!$B$12)</f>
        <v>64.601795036460643</v>
      </c>
      <c r="AA24" s="237">
        <f>AA16*(1-'Look Up Data'!$B$12)</f>
        <v>65.287754288510726</v>
      </c>
      <c r="AB24" s="237">
        <f>AB16*(1-'Look Up Data'!$B$12)</f>
        <v>65.980997240575775</v>
      </c>
      <c r="AC24" s="237">
        <f>AC16*(1-'Look Up Data'!$B$12)</f>
        <v>66.681601232943478</v>
      </c>
      <c r="AD24" s="237">
        <f>AD16*(1-'Look Up Data'!$B$12)</f>
        <v>67.389644427121539</v>
      </c>
      <c r="AE24" s="237">
        <f>AE16*(1-'Look Up Data'!$B$12)</f>
        <v>68.105205814557593</v>
      </c>
      <c r="AF24" s="237">
        <f>AF16*(1-'Look Up Data'!$B$12)</f>
        <v>68.828365225451734</v>
      </c>
      <c r="AG24" s="237">
        <f>AG16*(1-'Look Up Data'!$B$12)</f>
        <v>69.559203337662609</v>
      </c>
      <c r="AH24" s="237">
        <f>AH16*(1-'Look Up Data'!$B$12)</f>
        <v>70.297801685708095</v>
      </c>
      <c r="AI24" s="237">
        <f>AI16*(1-'Look Up Data'!$B$12)</f>
        <v>71.044242669861518</v>
      </c>
      <c r="AJ24" s="237">
        <f>AJ16*(1-'Look Up Data'!$B$12)</f>
        <v>71.798609565344506</v>
      </c>
    </row>
    <row r="25" spans="1:36">
      <c r="A25" s="1" t="s">
        <v>164</v>
      </c>
      <c r="B25" s="73"/>
      <c r="C25" s="73"/>
      <c r="D25" s="73"/>
      <c r="E25" s="73"/>
      <c r="F25" s="237"/>
      <c r="G25" s="237"/>
      <c r="H25" s="237"/>
      <c r="I25" s="237"/>
      <c r="J25" s="237"/>
      <c r="K25" s="237">
        <f>K17*(1-'Look Up Data'!$B$12)</f>
        <v>0.99788403635153888</v>
      </c>
      <c r="L25" s="237">
        <f>L17*(1-'Look Up Data'!$B$12)</f>
        <v>1.0084798377038402</v>
      </c>
      <c r="M25" s="237">
        <f>M17*(1-'Look Up Data'!$B$12)</f>
        <v>1.0191881481275442</v>
      </c>
      <c r="N25" s="237">
        <f>N17*(1-'Look Up Data'!$B$12)</f>
        <v>1.0300101622742612</v>
      </c>
      <c r="O25" s="237">
        <f>O17*(1-'Look Up Data'!$B$12)</f>
        <v>1.0409470874807338</v>
      </c>
      <c r="P25" s="237">
        <f>P17*(1-'Look Up Data'!$B$12)</f>
        <v>1.0520001439035314</v>
      </c>
      <c r="Q25" s="237">
        <f>Q17*(1-'Look Up Data'!$B$12)</f>
        <v>1.0631705646551741</v>
      </c>
      <c r="R25" s="237">
        <f>R17*(1-'Look Up Data'!$B$12)</f>
        <v>1.0744595959417031</v>
      </c>
      <c r="S25" s="237">
        <f>S17*(1-'Look Up Data'!$B$12)</f>
        <v>1.0858684972017105</v>
      </c>
      <c r="T25" s="237">
        <f>T17*(1-'Look Up Data'!$B$12)</f>
        <v>1.0973985412468465</v>
      </c>
      <c r="U25" s="237">
        <f>U17*(1-'Look Up Data'!$B$12)</f>
        <v>1.1090510144038181</v>
      </c>
      <c r="V25" s="237">
        <f>V17*(1-'Look Up Data'!$B$12)</f>
        <v>1.1208272166578959</v>
      </c>
      <c r="W25" s="237">
        <f>W17*(1-'Look Up Data'!$B$12)</f>
        <v>1.1327284617979436</v>
      </c>
      <c r="X25" s="237">
        <f>X17*(1-'Look Up Data'!$B$12)</f>
        <v>1.144756077562989</v>
      </c>
      <c r="Y25" s="237">
        <f>Y17*(1-'Look Up Data'!$B$12)</f>
        <v>1.1569114057903505</v>
      </c>
      <c r="Z25" s="237">
        <f>Z17*(1-'Look Up Data'!$B$12)</f>
        <v>1.169195802565336</v>
      </c>
      <c r="AA25" s="237">
        <f>AA17*(1-'Look Up Data'!$B$12)</f>
        <v>1.1816106383725324</v>
      </c>
      <c r="AB25" s="237">
        <f>AB17*(1-'Look Up Data'!$B$12)</f>
        <v>1.1941572982487014</v>
      </c>
      <c r="AC25" s="237">
        <f>AC17*(1-'Look Up Data'!$B$12)</f>
        <v>1.2068371819372974</v>
      </c>
      <c r="AD25" s="237">
        <f>AD17*(1-'Look Up Data'!$B$12)</f>
        <v>1.2196517040446277</v>
      </c>
      <c r="AE25" s="237">
        <f>AE17*(1-'Look Up Data'!$B$12)</f>
        <v>1.2326022941976704</v>
      </c>
      <c r="AF25" s="237">
        <f>AF17*(1-'Look Up Data'!$B$12)</f>
        <v>1.2456903972035676</v>
      </c>
      <c r="AG25" s="237">
        <f>AG17*(1-'Look Up Data'!$B$12)</f>
        <v>1.2589174732108126</v>
      </c>
      <c r="AH25" s="237">
        <f>AH17*(1-'Look Up Data'!$B$12)</f>
        <v>1.2722849978721489</v>
      </c>
      <c r="AI25" s="237">
        <f>AI17*(1-'Look Up Data'!$B$12)</f>
        <v>1.2857944625091975</v>
      </c>
      <c r="AJ25" s="237">
        <f>AJ17*(1-'Look Up Data'!$B$12)</f>
        <v>1.2994473742788342</v>
      </c>
    </row>
    <row r="26" spans="1:36">
      <c r="A26" s="1" t="s">
        <v>165</v>
      </c>
      <c r="B26" s="73"/>
      <c r="C26" s="73"/>
      <c r="D26" s="73"/>
      <c r="E26" s="73"/>
      <c r="F26" s="237"/>
      <c r="G26" s="237"/>
      <c r="H26" s="237"/>
      <c r="I26" s="237"/>
      <c r="J26" s="237"/>
      <c r="K26" s="237">
        <f>K18*(1-'Look Up Data'!$B$12)</f>
        <v>4.6131688237890822</v>
      </c>
      <c r="L26" s="237">
        <f>L18*(1-'Look Up Data'!$B$12)</f>
        <v>4.6621526923357868</v>
      </c>
      <c r="M26" s="237">
        <f>M18*(1-'Look Up Data'!$B$12)</f>
        <v>4.7116566847863526</v>
      </c>
      <c r="N26" s="237">
        <f>N18*(1-'Look Up Data'!$B$12)</f>
        <v>4.7616863239564209</v>
      </c>
      <c r="O26" s="237">
        <f>O18*(1-'Look Up Data'!$B$12)</f>
        <v>4.8122471913043761</v>
      </c>
      <c r="P26" s="237">
        <f>P18*(1-'Look Up Data'!$B$12)</f>
        <v>4.8633449275540306</v>
      </c>
      <c r="Q26" s="237">
        <f>Q18*(1-'Look Up Data'!$B$12)</f>
        <v>4.9149852333239199</v>
      </c>
      <c r="R26" s="237">
        <f>R18*(1-'Look Up Data'!$B$12)</f>
        <v>4.9671738697632835</v>
      </c>
      <c r="S26" s="237">
        <f>S18*(1-'Look Up Data'!$B$12)</f>
        <v>5.0199166591947924</v>
      </c>
      <c r="T26" s="237">
        <f>T18*(1-'Look Up Data'!$B$12)</f>
        <v>5.0732194857641097</v>
      </c>
      <c r="U26" s="237">
        <f>U18*(1-'Look Up Data'!$B$12)</f>
        <v>5.12708829609634</v>
      </c>
      <c r="V26" s="237">
        <f>V18*(1-'Look Up Data'!$B$12)</f>
        <v>5.1815290999594534</v>
      </c>
      <c r="W26" s="237">
        <f>W18*(1-'Look Up Data'!$B$12)</f>
        <v>5.2365479709347555</v>
      </c>
      <c r="X26" s="237">
        <f>X18*(1-'Look Up Data'!$B$12)</f>
        <v>5.2921510470944737</v>
      </c>
      <c r="Y26" s="237">
        <f>Y18*(1-'Look Up Data'!$B$12)</f>
        <v>5.3483445316865375</v>
      </c>
      <c r="Z26" s="237">
        <f>Z18*(1-'Look Up Data'!$B$12)</f>
        <v>5.4051346938266338</v>
      </c>
      <c r="AA26" s="237">
        <f>AA18*(1-'Look Up Data'!$B$12)</f>
        <v>5.4625278691976078</v>
      </c>
      <c r="AB26" s="237">
        <f>AB18*(1-'Look Up Data'!$B$12)</f>
        <v>5.5205304607562908</v>
      </c>
      <c r="AC26" s="237">
        <f>AC18*(1-'Look Up Data'!$B$12)</f>
        <v>5.5791489394478324</v>
      </c>
      <c r="AD26" s="237">
        <f>AD18*(1-'Look Up Data'!$B$12)</f>
        <v>5.6383898449276213</v>
      </c>
      <c r="AE26" s="237">
        <f>AE18*(1-'Look Up Data'!$B$12)</f>
        <v>5.6982597862908682</v>
      </c>
      <c r="AF26" s="237">
        <f>AF18*(1-'Look Up Data'!$B$12)</f>
        <v>5.758765442809934</v>
      </c>
      <c r="AG26" s="237">
        <f>AG18*(1-'Look Up Data'!$B$12)</f>
        <v>5.8199135646794931</v>
      </c>
      <c r="AH26" s="237">
        <f>AH18*(1-'Look Up Data'!$B$12)</f>
        <v>5.8817109737696045</v>
      </c>
      <c r="AI26" s="237">
        <f>AI18*(1-'Look Up Data'!$B$12)</f>
        <v>5.9441645643867798</v>
      </c>
      <c r="AJ26" s="237">
        <f>AJ18*(1-'Look Up Data'!$B$12)</f>
        <v>6.0072813040431337</v>
      </c>
    </row>
    <row r="27" spans="1:36">
      <c r="A27" s="1" t="s">
        <v>166</v>
      </c>
      <c r="B27" s="73"/>
      <c r="C27" s="73"/>
      <c r="D27" s="73"/>
      <c r="E27" s="73"/>
      <c r="F27" s="237"/>
      <c r="G27" s="237"/>
      <c r="H27" s="237"/>
      <c r="I27" s="237"/>
      <c r="J27" s="237"/>
      <c r="K27" s="237">
        <f>K19*(1-'Look Up Data'!$B$12)</f>
        <v>13.234232547678607</v>
      </c>
      <c r="L27" s="237">
        <f>L19*(1-'Look Up Data'!$B$12)</f>
        <v>13.374757191842734</v>
      </c>
      <c r="M27" s="237">
        <f>M19*(1-'Look Up Data'!$B$12)</f>
        <v>13.516773964511202</v>
      </c>
      <c r="N27" s="237">
        <f>N19*(1-'Look Up Data'!$B$12)</f>
        <v>13.660298709506186</v>
      </c>
      <c r="O27" s="237">
        <f>O19*(1-'Look Up Data'!$B$12)</f>
        <v>13.805347438883832</v>
      </c>
      <c r="P27" s="237">
        <f>P19*(1-'Look Up Data'!$B$12)</f>
        <v>13.951936334720607</v>
      </c>
      <c r="Q27" s="237">
        <f>Q19*(1-'Look Up Data'!$B$12)</f>
        <v>14.100081750918623</v>
      </c>
      <c r="R27" s="237">
        <f>R19*(1-'Look Up Data'!$B$12)</f>
        <v>14.249800215030129</v>
      </c>
      <c r="S27" s="237">
        <f>S19*(1-'Look Up Data'!$B$12)</f>
        <v>14.401108430101374</v>
      </c>
      <c r="T27" s="237">
        <f>T19*(1-'Look Up Data'!$B$12)</f>
        <v>14.554023276536046</v>
      </c>
      <c r="U27" s="237">
        <f>U19*(1-'Look Up Data'!$B$12)</f>
        <v>14.708561813978507</v>
      </c>
      <c r="V27" s="237">
        <f>V19*(1-'Look Up Data'!$B$12)</f>
        <v>14.864741283217013</v>
      </c>
      <c r="W27" s="237">
        <f>W19*(1-'Look Up Data'!$B$12)</f>
        <v>15.022579108107154</v>
      </c>
      <c r="X27" s="237">
        <f>X19*(1-'Look Up Data'!$B$12)</f>
        <v>15.182092897515707</v>
      </c>
      <c r="Y27" s="237">
        <f>Y19*(1-'Look Up Data'!$B$12)</f>
        <v>15.343300447285138</v>
      </c>
      <c r="Z27" s="237">
        <f>Z19*(1-'Look Up Data'!$B$12)</f>
        <v>15.506219742218962</v>
      </c>
      <c r="AA27" s="237">
        <f>AA19*(1-'Look Up Data'!$B$12)</f>
        <v>15.670868958088175</v>
      </c>
      <c r="AB27" s="237">
        <f>AB19*(1-'Look Up Data'!$B$12)</f>
        <v>15.837266463659006</v>
      </c>
      <c r="AC27" s="237">
        <f>AC19*(1-'Look Up Data'!$B$12)</f>
        <v>16.005430822742188</v>
      </c>
      <c r="AD27" s="237">
        <f>AD19*(1-'Look Up Data'!$B$12)</f>
        <v>16.175380796263994</v>
      </c>
      <c r="AE27" s="237">
        <f>AE19*(1-'Look Up Data'!$B$12)</f>
        <v>16.347135344359266</v>
      </c>
      <c r="AF27" s="237">
        <f>AF19*(1-'Look Up Data'!$B$12)</f>
        <v>16.520713628486657</v>
      </c>
      <c r="AG27" s="237">
        <f>AG19*(1-'Look Up Data'!$B$12)</f>
        <v>16.696135013566352</v>
      </c>
      <c r="AH27" s="237">
        <f>AH19*(1-'Look Up Data'!$B$12)</f>
        <v>16.873419070140468</v>
      </c>
      <c r="AI27" s="237">
        <f>AI19*(1-'Look Up Data'!$B$12)</f>
        <v>17.052585576556407</v>
      </c>
      <c r="AJ27" s="237">
        <f>AJ19*(1-'Look Up Data'!$B$12)</f>
        <v>17.233654521173392</v>
      </c>
    </row>
    <row r="28" spans="1:36">
      <c r="A28" s="1" t="s">
        <v>99</v>
      </c>
      <c r="B28" s="73"/>
      <c r="C28" s="73"/>
      <c r="D28" s="73"/>
      <c r="E28" s="73"/>
      <c r="F28" s="237"/>
      <c r="G28" s="237"/>
      <c r="H28" s="237"/>
      <c r="I28" s="237"/>
      <c r="J28" s="237"/>
      <c r="K28" s="237">
        <f>K20*(1-'Look Up Data'!$B$12)</f>
        <v>0.15813462871144607</v>
      </c>
      <c r="L28" s="237">
        <f>L20*(1-'Look Up Data'!$B$12)</f>
        <v>0.15981374477273971</v>
      </c>
      <c r="M28" s="237">
        <f>M20*(1-'Look Up Data'!$B$12)</f>
        <v>0.16151069014043051</v>
      </c>
      <c r="N28" s="237">
        <f>N20*(1-'Look Up Data'!$B$12)</f>
        <v>0.16322565413089385</v>
      </c>
      <c r="O28" s="237">
        <f>O20*(1-'Look Up Data'!$B$12)</f>
        <v>0.16495882807071738</v>
      </c>
      <c r="P28" s="237">
        <f>P20*(1-'Look Up Data'!$B$12)</f>
        <v>0.16671040531804596</v>
      </c>
      <c r="Q28" s="237">
        <f>Q20*(1-'Look Up Data'!$B$12)</f>
        <v>0.16848058128415327</v>
      </c>
      <c r="R28" s="237">
        <f>R20*(1-'Look Up Data'!$B$12)</f>
        <v>0.17026955345524256</v>
      </c>
      <c r="S28" s="237">
        <f>S20*(1-'Look Up Data'!$B$12)</f>
        <v>0.17207752141447868</v>
      </c>
      <c r="T28" s="237">
        <f>T20*(1-'Look Up Data'!$B$12)</f>
        <v>0.17390468686425434</v>
      </c>
      <c r="U28" s="237">
        <f>U20*(1-'Look Up Data'!$B$12)</f>
        <v>0.17575125364869248</v>
      </c>
      <c r="V28" s="237">
        <f>V20*(1-'Look Up Data'!$B$12)</f>
        <v>0.17761742777638787</v>
      </c>
      <c r="W28" s="237">
        <f>W20*(1-'Look Up Data'!$B$12)</f>
        <v>0.17950341744338996</v>
      </c>
      <c r="X28" s="237">
        <f>X20*(1-'Look Up Data'!$B$12)</f>
        <v>0.18140943305642995</v>
      </c>
      <c r="Y28" s="237">
        <f>Y20*(1-'Look Up Data'!$B$12)</f>
        <v>0.18333568725639432</v>
      </c>
      <c r="Z28" s="237">
        <f>Z20*(1-'Look Up Data'!$B$12)</f>
        <v>0.18528239494204773</v>
      </c>
      <c r="AA28" s="237">
        <f>AA20*(1-'Look Up Data'!$B$12)</f>
        <v>0.18724977329400783</v>
      </c>
      <c r="AB28" s="237">
        <f>AB20*(1-'Look Up Data'!$B$12)</f>
        <v>0.18923804179897449</v>
      </c>
      <c r="AC28" s="237">
        <f>AC20*(1-'Look Up Data'!$B$12)</f>
        <v>0.19124742227421646</v>
      </c>
      <c r="AD28" s="237">
        <f>AD20*(1-'Look Up Data'!$B$12)</f>
        <v>0.19327813889231799</v>
      </c>
      <c r="AE28" s="237">
        <f>AE20*(1-'Look Up Data'!$B$12)</f>
        <v>0.19533041820618813</v>
      </c>
      <c r="AF28" s="237">
        <f>AF20*(1-'Look Up Data'!$B$12)</f>
        <v>0.19740448917433578</v>
      </c>
      <c r="AG28" s="237">
        <f>AG20*(1-'Look Up Data'!$B$12)</f>
        <v>0.19950058318641289</v>
      </c>
      <c r="AH28" s="237">
        <f>AH20*(1-'Look Up Data'!$B$12)</f>
        <v>0.20161893408902901</v>
      </c>
      <c r="AI28" s="237">
        <f>AI20*(1-'Look Up Data'!$B$12)</f>
        <v>0.20375977821183999</v>
      </c>
      <c r="AJ28" s="237">
        <f>AJ20*(1-'Look Up Data'!$B$12)</f>
        <v>0.20592335439391357</v>
      </c>
    </row>
    <row r="29" spans="1:36">
      <c r="A29" s="73"/>
      <c r="B29" s="219"/>
      <c r="C29" s="219"/>
      <c r="D29" s="219"/>
      <c r="E29" s="219"/>
      <c r="F29" s="219"/>
      <c r="G29" s="219"/>
      <c r="H29" s="219"/>
      <c r="I29" s="219"/>
      <c r="J29" s="220"/>
      <c r="K29" s="218"/>
      <c r="L29" s="218"/>
    </row>
    <row r="30" spans="1:36">
      <c r="A30" s="221"/>
      <c r="B30" s="16"/>
      <c r="C30" s="16"/>
      <c r="D30" s="16"/>
      <c r="E30" s="16"/>
      <c r="F30" s="16"/>
      <c r="G30" s="16"/>
      <c r="H30" s="16"/>
      <c r="I30" s="16"/>
    </row>
    <row r="31" spans="1:36">
      <c r="A31" s="260"/>
      <c r="B31" s="20"/>
      <c r="C31" s="20"/>
      <c r="D31" s="20"/>
      <c r="E31" s="20"/>
      <c r="F31" s="239"/>
      <c r="G31" s="20"/>
      <c r="H31" s="20"/>
      <c r="I31" s="20"/>
    </row>
    <row r="32" spans="1:36">
      <c r="A32" s="244"/>
      <c r="B32" s="244"/>
      <c r="C32" s="244"/>
      <c r="D32" s="244"/>
      <c r="E32" s="244"/>
    </row>
    <row r="33" spans="1:36">
      <c r="A33" s="221" t="s">
        <v>170</v>
      </c>
      <c r="B33" s="73"/>
      <c r="C33" s="73"/>
      <c r="D33" s="73"/>
      <c r="E33" s="73"/>
      <c r="F33" s="73"/>
      <c r="G33" s="73"/>
      <c r="H33" s="73"/>
      <c r="I33" s="73"/>
    </row>
    <row r="34" spans="1:36">
      <c r="A34" s="1" t="s">
        <v>163</v>
      </c>
      <c r="B34" s="73"/>
      <c r="C34" s="73"/>
      <c r="D34" s="73"/>
      <c r="E34" s="73"/>
      <c r="F34" s="238"/>
      <c r="G34" s="238"/>
      <c r="H34" s="238"/>
      <c r="I34" s="238"/>
      <c r="J34" s="238"/>
      <c r="K34" s="374">
        <f>K24*'Look Up Data'!$E$60</f>
        <v>215031.46812182435</v>
      </c>
      <c r="L34" s="374">
        <f>L24*'Look Up Data'!$E$60</f>
        <v>217314.73014197146</v>
      </c>
      <c r="M34" s="374">
        <f>M24*'Look Up Data'!$E$60</f>
        <v>219622.23645295741</v>
      </c>
      <c r="N34" s="374">
        <f>N24*'Look Up Data'!$E$60</f>
        <v>221954.24448718945</v>
      </c>
      <c r="O34" s="374">
        <f>O24*'Look Up Data'!$E$60</f>
        <v>224311.0144105615</v>
      </c>
      <c r="P34" s="374">
        <f>P24*'Look Up Data'!$E$60</f>
        <v>226692.8091514789</v>
      </c>
      <c r="Q34" s="374">
        <f>Q24*'Look Up Data'!$E$60</f>
        <v>229099.89443019163</v>
      </c>
      <c r="R34" s="374">
        <f>R24*'Look Up Data'!$E$60</f>
        <v>231532.53878843883</v>
      </c>
      <c r="S34" s="374">
        <f>S24*'Look Up Data'!$E$60</f>
        <v>233991.01361940813</v>
      </c>
      <c r="T34" s="374">
        <f>T24*'Look Up Data'!$E$60</f>
        <v>236475.59319801306</v>
      </c>
      <c r="U34" s="374">
        <f>U24*'Look Up Data'!$E$60</f>
        <v>238986.55471149203</v>
      </c>
      <c r="V34" s="374">
        <f>V24*'Look Up Data'!$E$60</f>
        <v>241524.17829033223</v>
      </c>
      <c r="W34" s="374">
        <f>W24*'Look Up Data'!$E$60</f>
        <v>244088.7470395217</v>
      </c>
      <c r="X34" s="374">
        <f>X24*'Look Up Data'!$E$60</f>
        <v>246680.54707013344</v>
      </c>
      <c r="Y34" s="374">
        <f>Y24*'Look Up Data'!$E$60</f>
        <v>249299.86753124499</v>
      </c>
      <c r="Z34" s="374">
        <f>Z24*'Look Up Data'!$E$60</f>
        <v>251947.00064219651</v>
      </c>
      <c r="AA34" s="374">
        <f>AA24*'Look Up Data'!$E$60</f>
        <v>254622.24172519182</v>
      </c>
      <c r="AB34" s="374">
        <f>AB24*'Look Up Data'!$E$60</f>
        <v>257325.88923824552</v>
      </c>
      <c r="AC34" s="374">
        <f>AC24*'Look Up Data'!$E$60</f>
        <v>260058.24480847956</v>
      </c>
      <c r="AD34" s="374">
        <f>AD24*'Look Up Data'!$E$60</f>
        <v>262819.61326577398</v>
      </c>
      <c r="AE34" s="374">
        <f>AE24*'Look Up Data'!$E$60</f>
        <v>265610.30267677462</v>
      </c>
      <c r="AF34" s="374">
        <f>AF24*'Look Up Data'!$E$60</f>
        <v>268430.62437926175</v>
      </c>
      <c r="AG34" s="374">
        <f>AG24*'Look Up Data'!$E$60</f>
        <v>271280.89301688416</v>
      </c>
      <c r="AH34" s="374">
        <f>AH24*'Look Up Data'!$E$60</f>
        <v>274161.42657426157</v>
      </c>
      <c r="AI34" s="374">
        <f>AI24*'Look Up Data'!$E$60</f>
        <v>277072.54641245992</v>
      </c>
      <c r="AJ34" s="374">
        <f>AJ24*'Look Up Data'!$E$60</f>
        <v>280014.57730484358</v>
      </c>
    </row>
    <row r="35" spans="1:36">
      <c r="A35" s="1" t="s">
        <v>164</v>
      </c>
      <c r="B35" s="73"/>
      <c r="C35" s="73"/>
      <c r="D35" s="73"/>
      <c r="E35" s="73"/>
      <c r="F35" s="238"/>
      <c r="G35" s="238"/>
      <c r="H35" s="238"/>
      <c r="I35" s="238"/>
      <c r="J35" s="238"/>
      <c r="K35" s="374">
        <f>K25*'Look Up Data'!$E$63</f>
        <v>553626.06336783373</v>
      </c>
      <c r="L35" s="374">
        <f>L25*'Look Up Data'!$E$63</f>
        <v>559504.61395809054</v>
      </c>
      <c r="M35" s="374">
        <f>M25*'Look Up Data'!$E$63</f>
        <v>565445.5845811615</v>
      </c>
      <c r="N35" s="374">
        <f>N25*'Look Up Data'!$E$63</f>
        <v>571449.6380297601</v>
      </c>
      <c r="O35" s="374">
        <f>O25*'Look Up Data'!$E$63</f>
        <v>577517.44413431117</v>
      </c>
      <c r="P35" s="374">
        <f>P25*'Look Up Data'!$E$63</f>
        <v>583649.67983767914</v>
      </c>
      <c r="Q35" s="374">
        <f>Q25*'Look Up Data'!$E$63</f>
        <v>589847.02927069063</v>
      </c>
      <c r="R35" s="374">
        <f>R25*'Look Up Data'!$E$63</f>
        <v>596110.18382845691</v>
      </c>
      <c r="S35" s="374">
        <f>S25*'Look Up Data'!$E$63</f>
        <v>602439.84224750905</v>
      </c>
      <c r="T35" s="374">
        <f>T25*'Look Up Data'!$E$63</f>
        <v>608836.71068375045</v>
      </c>
      <c r="U35" s="374">
        <f>U25*'Look Up Data'!$E$63</f>
        <v>615301.50279123825</v>
      </c>
      <c r="V35" s="374">
        <f>V25*'Look Up Data'!$E$63</f>
        <v>621834.93980180065</v>
      </c>
      <c r="W35" s="374">
        <f>W25*'Look Up Data'!$E$63</f>
        <v>628437.75060549914</v>
      </c>
      <c r="X35" s="374">
        <f>X25*'Look Up Data'!$E$63</f>
        <v>635110.67183194635</v>
      </c>
      <c r="Y35" s="374">
        <f>Y25*'Look Up Data'!$E$63</f>
        <v>641854.44793248642</v>
      </c>
      <c r="Z35" s="374">
        <f>Z25*'Look Up Data'!$E$63</f>
        <v>648669.83126324834</v>
      </c>
      <c r="AA35" s="374">
        <f>AA25*'Look Up Data'!$E$63</f>
        <v>655557.58216908097</v>
      </c>
      <c r="AB35" s="374">
        <f>AB25*'Look Up Data'!$E$63</f>
        <v>662518.46906837961</v>
      </c>
      <c r="AC35" s="374">
        <f>AC25*'Look Up Data'!$E$63</f>
        <v>669553.26853881264</v>
      </c>
      <c r="AD35" s="374">
        <f>AD25*'Look Up Data'!$E$63</f>
        <v>676662.76540395943</v>
      </c>
      <c r="AE35" s="374">
        <f>AE25*'Look Up Data'!$E$63</f>
        <v>683847.75282086758</v>
      </c>
      <c r="AF35" s="374">
        <f>AF25*'Look Up Data'!$E$63</f>
        <v>691109.03236853925</v>
      </c>
      <c r="AG35" s="374">
        <f>AG25*'Look Up Data'!$E$63</f>
        <v>698447.41413735878</v>
      </c>
      <c r="AH35" s="374">
        <f>AH25*'Look Up Data'!$E$63</f>
        <v>705863.71681946819</v>
      </c>
      <c r="AI35" s="374">
        <f>AI25*'Look Up Data'!$E$63</f>
        <v>713358.76780010271</v>
      </c>
      <c r="AJ35" s="374">
        <f>AJ25*'Look Up Data'!$E$63</f>
        <v>720933.40324989718</v>
      </c>
    </row>
    <row r="36" spans="1:36">
      <c r="A36" s="1" t="s">
        <v>165</v>
      </c>
      <c r="B36" s="73"/>
      <c r="C36" s="73"/>
      <c r="D36" s="73"/>
      <c r="E36" s="73"/>
      <c r="F36" s="238"/>
      <c r="G36" s="238"/>
      <c r="H36" s="238"/>
      <c r="I36" s="238"/>
      <c r="J36" s="238"/>
      <c r="K36" s="374">
        <f>K26*'Look Up Data'!$E$62</f>
        <v>697049.80927453027</v>
      </c>
      <c r="L36" s="374">
        <f>L26*'Look Up Data'!$E$62</f>
        <v>704451.27181193733</v>
      </c>
      <c r="M36" s="374">
        <f>M26*'Look Up Data'!$E$62</f>
        <v>711931.32507121784</v>
      </c>
      <c r="N36" s="374">
        <f>N26*'Look Up Data'!$E$62</f>
        <v>719490.8035498152</v>
      </c>
      <c r="O36" s="374">
        <f>O26*'Look Up Data'!$E$62</f>
        <v>727130.55060609127</v>
      </c>
      <c r="P36" s="374">
        <f>P26*'Look Up Data'!$E$62</f>
        <v>734851.41855341406</v>
      </c>
      <c r="Q36" s="374">
        <f>Q26*'Look Up Data'!$E$62</f>
        <v>742654.26875524432</v>
      </c>
      <c r="R36" s="374">
        <f>R26*'Look Up Data'!$E$62</f>
        <v>750539.97172123217</v>
      </c>
      <c r="S36" s="374">
        <f>S26*'Look Up Data'!$E$62</f>
        <v>758509.40720433311</v>
      </c>
      <c r="T36" s="374">
        <f>T26*'Look Up Data'!$E$62</f>
        <v>766563.46429895703</v>
      </c>
      <c r="U36" s="374">
        <f>U26*'Look Up Data'!$E$62</f>
        <v>774703.04154015693</v>
      </c>
      <c r="V36" s="374">
        <f>V26*'Look Up Data'!$E$62</f>
        <v>782929.04700387339</v>
      </c>
      <c r="W36" s="374">
        <f>W26*'Look Up Data'!$E$62</f>
        <v>791242.39840824157</v>
      </c>
      <c r="X36" s="374">
        <f>X26*'Look Up Data'!$E$62</f>
        <v>799644.02321597503</v>
      </c>
      <c r="Y36" s="374">
        <f>Y26*'Look Up Data'!$E$62</f>
        <v>808134.85873783578</v>
      </c>
      <c r="Z36" s="374">
        <f>Z26*'Look Up Data'!$E$62</f>
        <v>816715.85223720432</v>
      </c>
      <c r="AA36" s="374">
        <f>AA26*'Look Up Data'!$E$62</f>
        <v>825387.96103575849</v>
      </c>
      <c r="AB36" s="374">
        <f>AB26*'Look Up Data'!$E$62</f>
        <v>834152.1526202755</v>
      </c>
      <c r="AC36" s="374">
        <f>AC26*'Look Up Data'!$E$62</f>
        <v>843009.40475056751</v>
      </c>
      <c r="AD36" s="374">
        <f>AD26*'Look Up Data'!$E$62</f>
        <v>851960.70556856354</v>
      </c>
      <c r="AE36" s="374">
        <f>AE26*'Look Up Data'!$E$62</f>
        <v>861007.05370855017</v>
      </c>
      <c r="AF36" s="374">
        <f>AF26*'Look Up Data'!$E$62</f>
        <v>870149.45840858098</v>
      </c>
      <c r="AG36" s="374">
        <f>AG26*'Look Up Data'!$E$62</f>
        <v>879388.93962307135</v>
      </c>
      <c r="AH36" s="374">
        <f>AH26*'Look Up Data'!$E$62</f>
        <v>888726.52813658724</v>
      </c>
      <c r="AI36" s="374">
        <f>AI26*'Look Up Data'!$E$62</f>
        <v>898163.26567884244</v>
      </c>
      <c r="AJ36" s="374">
        <f>AJ26*'Look Up Data'!$E$62</f>
        <v>907700.2050409175</v>
      </c>
    </row>
    <row r="37" spans="1:36">
      <c r="A37" s="1" t="s">
        <v>166</v>
      </c>
      <c r="B37" s="73"/>
      <c r="C37" s="73"/>
      <c r="D37" s="73"/>
      <c r="E37" s="73"/>
      <c r="F37" s="238"/>
      <c r="G37" s="238"/>
      <c r="H37" s="238"/>
      <c r="I37" s="238"/>
      <c r="J37" s="238"/>
      <c r="K37" s="374">
        <f>K27*'Look Up Data'!$E$61</f>
        <v>1021682.7526807884</v>
      </c>
      <c r="L37" s="374">
        <f>L27*'Look Up Data'!$E$61</f>
        <v>1032531.2552102591</v>
      </c>
      <c r="M37" s="374">
        <f>M27*'Look Up Data'!$E$61</f>
        <v>1043494.9500602648</v>
      </c>
      <c r="N37" s="374">
        <f>N27*'Look Up Data'!$E$61</f>
        <v>1054575.0603738776</v>
      </c>
      <c r="O37" s="374">
        <f>O27*'Look Up Data'!$E$61</f>
        <v>1065772.8222818319</v>
      </c>
      <c r="P37" s="374">
        <f>P27*'Look Up Data'!$E$61</f>
        <v>1077089.4850404309</v>
      </c>
      <c r="Q37" s="374">
        <f>Q27*'Look Up Data'!$E$61</f>
        <v>1088526.3111709177</v>
      </c>
      <c r="R37" s="374">
        <f>R27*'Look Up Data'!$E$61</f>
        <v>1100084.576600326</v>
      </c>
      <c r="S37" s="374">
        <f>S27*'Look Up Data'!$E$61</f>
        <v>1111765.570803826</v>
      </c>
      <c r="T37" s="374">
        <f>T27*'Look Up Data'!$E$61</f>
        <v>1123570.5969485827</v>
      </c>
      <c r="U37" s="374">
        <f>U27*'Look Up Data'!$E$61</f>
        <v>1135500.9720391408</v>
      </c>
      <c r="V37" s="374">
        <f>V27*'Look Up Data'!$E$61</f>
        <v>1147558.0270643535</v>
      </c>
      <c r="W37" s="374">
        <f>W27*'Look Up Data'!$E$61</f>
        <v>1159743.1071458722</v>
      </c>
      <c r="X37" s="374">
        <f>X27*'Look Up Data'!$E$61</f>
        <v>1172057.5716882127</v>
      </c>
      <c r="Y37" s="374">
        <f>Y27*'Look Up Data'!$E$61</f>
        <v>1184502.7945304126</v>
      </c>
      <c r="Z37" s="374">
        <f>Z27*'Look Up Data'!$E$61</f>
        <v>1197080.1640993038</v>
      </c>
      <c r="AA37" s="374">
        <f>AA27*'Look Up Data'!$E$61</f>
        <v>1209791.0835644072</v>
      </c>
      <c r="AB37" s="374">
        <f>AB27*'Look Up Data'!$E$61</f>
        <v>1222636.9709944753</v>
      </c>
      <c r="AC37" s="374">
        <f>AC27*'Look Up Data'!$E$61</f>
        <v>1235619.2595156969</v>
      </c>
      <c r="AD37" s="374">
        <f>AD27*'Look Up Data'!$E$61</f>
        <v>1248739.3974715804</v>
      </c>
      <c r="AE37" s="374">
        <f>AE27*'Look Up Data'!$E$61</f>
        <v>1261998.8485845353</v>
      </c>
      <c r="AF37" s="374">
        <f>AF27*'Look Up Data'!$E$61</f>
        <v>1275399.0921191699</v>
      </c>
      <c r="AG37" s="374">
        <f>AG27*'Look Up Data'!$E$61</f>
        <v>1288941.6230473223</v>
      </c>
      <c r="AH37" s="374">
        <f>AH27*'Look Up Data'!$E$61</f>
        <v>1302627.9522148441</v>
      </c>
      <c r="AI37" s="374">
        <f>AI27*'Look Up Data'!$E$61</f>
        <v>1316459.6065101547</v>
      </c>
      <c r="AJ37" s="374">
        <f>AJ27*'Look Up Data'!$E$61</f>
        <v>1330438.1290345858</v>
      </c>
    </row>
    <row r="38" spans="1:36">
      <c r="A38" s="1" t="s">
        <v>99</v>
      </c>
      <c r="B38" s="73"/>
      <c r="C38" s="73"/>
      <c r="D38" s="73"/>
      <c r="E38" s="73"/>
      <c r="F38" s="238"/>
      <c r="G38" s="238"/>
      <c r="H38" s="238"/>
      <c r="I38" s="238"/>
      <c r="J38" s="238"/>
      <c r="K38" s="374">
        <f>K28*'Look Up Data'!$E$64</f>
        <v>1834361.6930527743</v>
      </c>
      <c r="L38" s="374">
        <f>L28*'Look Up Data'!$E$64</f>
        <v>1853839.4393637807</v>
      </c>
      <c r="M38" s="374">
        <f>M28*'Look Up Data'!$E$64</f>
        <v>1873524.005628994</v>
      </c>
      <c r="N38" s="374">
        <f>N28*'Look Up Data'!$E$64</f>
        <v>1893417.5879183686</v>
      </c>
      <c r="O38" s="374">
        <f>O28*'Look Up Data'!$E$64</f>
        <v>1913522.4056203216</v>
      </c>
      <c r="P38" s="374">
        <f>P28*'Look Up Data'!$E$64</f>
        <v>1933840.7016893332</v>
      </c>
      <c r="Q38" s="374">
        <f>Q28*'Look Up Data'!$E$64</f>
        <v>1954374.742896178</v>
      </c>
      <c r="R38" s="374">
        <f>R28*'Look Up Data'!$E$64</f>
        <v>1975126.8200808137</v>
      </c>
      <c r="S38" s="374">
        <f>S28*'Look Up Data'!$E$64</f>
        <v>1996099.2484079527</v>
      </c>
      <c r="T38" s="374">
        <f>T28*'Look Up Data'!$E$64</f>
        <v>2017294.3676253504</v>
      </c>
      <c r="U38" s="374">
        <f>U28*'Look Up Data'!$E$64</f>
        <v>2038714.5423248329</v>
      </c>
      <c r="V38" s="374">
        <f>V28*'Look Up Data'!$E$64</f>
        <v>2060362.1622060991</v>
      </c>
      <c r="W38" s="374">
        <f>W28*'Look Up Data'!$E$64</f>
        <v>2082239.6423433234</v>
      </c>
      <c r="X38" s="374">
        <f>X28*'Look Up Data'!$E$64</f>
        <v>2104349.4234545873</v>
      </c>
      <c r="Y38" s="374">
        <f>Y28*'Look Up Data'!$E$64</f>
        <v>2126693.9721741742</v>
      </c>
      <c r="Z38" s="374">
        <f>Z28*'Look Up Data'!$E$64</f>
        <v>2149275.7813277538</v>
      </c>
      <c r="AA38" s="374">
        <f>AA28*'Look Up Data'!$E$64</f>
        <v>2172097.3702104907</v>
      </c>
      <c r="AB38" s="374">
        <f>AB28*'Look Up Data'!$E$64</f>
        <v>2195161.2848681039</v>
      </c>
      <c r="AC38" s="374">
        <f>AC28*'Look Up Data'!$E$64</f>
        <v>2218470.0983809107</v>
      </c>
      <c r="AD38" s="374">
        <f>AD28*'Look Up Data'!$E$64</f>
        <v>2242026.4111508885</v>
      </c>
      <c r="AE38" s="374">
        <f>AE28*'Look Up Data'!$E$64</f>
        <v>2265832.8511917824</v>
      </c>
      <c r="AF38" s="374">
        <f>AF28*'Look Up Data'!$E$64</f>
        <v>2289892.0744222952</v>
      </c>
      <c r="AG38" s="374">
        <f>AG28*'Look Up Data'!$E$64</f>
        <v>2314206.7649623896</v>
      </c>
      <c r="AH38" s="374">
        <f>AH28*'Look Up Data'!$E$64</f>
        <v>2338779.6354327365</v>
      </c>
      <c r="AI38" s="374">
        <f>AI28*'Look Up Data'!$E$64</f>
        <v>2363613.4272573441</v>
      </c>
      <c r="AJ38" s="374">
        <f>AJ28*'Look Up Data'!$E$64</f>
        <v>2388710.9109693975</v>
      </c>
    </row>
    <row r="39" spans="1:36">
      <c r="A39" s="73" t="s">
        <v>48</v>
      </c>
      <c r="B39" s="73"/>
      <c r="C39" s="73"/>
      <c r="D39" s="73"/>
      <c r="E39" s="73"/>
      <c r="F39" s="238"/>
      <c r="G39" s="238"/>
      <c r="H39" s="238"/>
      <c r="I39" s="238"/>
      <c r="J39" s="238"/>
      <c r="K39" s="374">
        <f t="shared" ref="K39:AJ39" si="8">SUM(K34:K38)</f>
        <v>4321751.7864977513</v>
      </c>
      <c r="L39" s="374">
        <f t="shared" si="8"/>
        <v>4367641.3104860391</v>
      </c>
      <c r="M39" s="374">
        <f t="shared" si="8"/>
        <v>4414018.1017945958</v>
      </c>
      <c r="N39" s="374">
        <f t="shared" si="8"/>
        <v>4460887.3343590107</v>
      </c>
      <c r="O39" s="374">
        <f t="shared" si="8"/>
        <v>4508254.2370531177</v>
      </c>
      <c r="P39" s="374">
        <f t="shared" si="8"/>
        <v>4556124.094272336</v>
      </c>
      <c r="Q39" s="374">
        <f t="shared" si="8"/>
        <v>4604502.246523222</v>
      </c>
      <c r="R39" s="374">
        <f t="shared" si="8"/>
        <v>4653394.0910192681</v>
      </c>
      <c r="S39" s="374">
        <f t="shared" si="8"/>
        <v>4702805.0822830284</v>
      </c>
      <c r="T39" s="374">
        <f t="shared" si="8"/>
        <v>4752740.7327546533</v>
      </c>
      <c r="U39" s="374">
        <f t="shared" si="8"/>
        <v>4803206.6134068612</v>
      </c>
      <c r="V39" s="374">
        <f t="shared" si="8"/>
        <v>4854208.354366459</v>
      </c>
      <c r="W39" s="374">
        <f t="shared" si="8"/>
        <v>4905751.6455424586</v>
      </c>
      <c r="X39" s="374">
        <f t="shared" si="8"/>
        <v>4957842.2372608548</v>
      </c>
      <c r="Y39" s="374">
        <f t="shared" si="8"/>
        <v>5010485.940906154</v>
      </c>
      <c r="Z39" s="374">
        <f t="shared" si="8"/>
        <v>5063688.6295697074</v>
      </c>
      <c r="AA39" s="374">
        <f t="shared" si="8"/>
        <v>5117456.2387049291</v>
      </c>
      <c r="AB39" s="374">
        <f t="shared" si="8"/>
        <v>5171794.7667894792</v>
      </c>
      <c r="AC39" s="374">
        <f t="shared" si="8"/>
        <v>5226710.2759944666</v>
      </c>
      <c r="AD39" s="374">
        <f t="shared" si="8"/>
        <v>5282208.8928607656</v>
      </c>
      <c r="AE39" s="374">
        <f t="shared" si="8"/>
        <v>5338296.8089825101</v>
      </c>
      <c r="AF39" s="374">
        <f t="shared" si="8"/>
        <v>5394980.2816978469</v>
      </c>
      <c r="AG39" s="374">
        <f t="shared" si="8"/>
        <v>5452265.6347870268</v>
      </c>
      <c r="AH39" s="374">
        <f t="shared" si="8"/>
        <v>5510159.2591778971</v>
      </c>
      <c r="AI39" s="374">
        <f t="shared" si="8"/>
        <v>5568667.6136589041</v>
      </c>
      <c r="AJ39" s="374">
        <f t="shared" si="8"/>
        <v>5627797.225599641</v>
      </c>
    </row>
    <row r="44" spans="1:36">
      <c r="J44" s="244"/>
      <c r="K44" s="244"/>
      <c r="L44" s="244"/>
      <c r="M44" s="244"/>
      <c r="N44" s="244"/>
      <c r="O44" s="244"/>
      <c r="P44" s="244"/>
    </row>
    <row r="66" spans="1:12" ht="14.45" customHeight="1">
      <c r="A66" s="259"/>
      <c r="B66" s="259"/>
      <c r="C66" s="259"/>
      <c r="D66" s="259"/>
      <c r="E66" s="259"/>
      <c r="F66" s="259"/>
      <c r="G66" s="259"/>
      <c r="H66" s="259"/>
      <c r="I66" s="259"/>
      <c r="J66" s="259"/>
      <c r="K66" s="259"/>
      <c r="L66" s="259"/>
    </row>
    <row r="92" spans="20:20">
      <c r="T92" t="s">
        <v>171</v>
      </c>
    </row>
  </sheetData>
  <mergeCells count="4">
    <mergeCell ref="C3:D3"/>
    <mergeCell ref="G3:H3"/>
    <mergeCell ref="I3:J3"/>
    <mergeCell ref="E3:F3"/>
  </mergeCells>
  <pageMargins left="0.7" right="0.7" top="0.75" bottom="0.75" header="0.3" footer="0.3"/>
  <pageSetup orientation="portrait" r:id="rId1"/>
  <ignoredErrors>
    <ignoredError sqref="E6:E8 G6:G8 I6:I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1545-9834-43FE-8B06-567D30170BAD}">
  <sheetPr>
    <tabColor theme="9" tint="0.39997558519241921"/>
  </sheetPr>
  <dimension ref="A1:AB44"/>
  <sheetViews>
    <sheetView topLeftCell="A7" zoomScale="75" zoomScaleNormal="75" workbookViewId="0">
      <selection activeCell="H28" sqref="H28"/>
    </sheetView>
  </sheetViews>
  <sheetFormatPr defaultColWidth="8.7109375" defaultRowHeight="15"/>
  <cols>
    <col min="1" max="1" width="45.5703125" customWidth="1"/>
    <col min="2" max="2" width="10.5703125" customWidth="1"/>
    <col min="3" max="28" width="13.5703125" customWidth="1"/>
  </cols>
  <sheetData>
    <row r="1" spans="1:28" ht="18.75">
      <c r="A1" s="4" t="s">
        <v>154</v>
      </c>
      <c r="B1" s="34"/>
    </row>
    <row r="2" spans="1:28">
      <c r="B2" s="34"/>
    </row>
    <row r="3" spans="1:28">
      <c r="A3" s="1" t="s">
        <v>36</v>
      </c>
      <c r="B3" s="1"/>
      <c r="D3">
        <v>1</v>
      </c>
      <c r="E3">
        <f t="shared" ref="E3:V4"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si="0"/>
        <v>18</v>
      </c>
      <c r="V3">
        <f t="shared" si="0"/>
        <v>19</v>
      </c>
      <c r="W3">
        <f t="shared" ref="W3:W4" si="1">V3+1</f>
        <v>20</v>
      </c>
      <c r="X3">
        <f t="shared" ref="X3:X4" si="2">W3+1</f>
        <v>21</v>
      </c>
      <c r="Y3">
        <f t="shared" ref="Y3:Y4" si="3">X3+1</f>
        <v>22</v>
      </c>
      <c r="Z3">
        <f t="shared" ref="Z3:Z4" si="4">Y3+1</f>
        <v>23</v>
      </c>
      <c r="AA3">
        <f t="shared" ref="AA3:AA4" si="5">Z3+1</f>
        <v>24</v>
      </c>
      <c r="AB3">
        <f t="shared" ref="AB3:AB4" si="6">AA3+1</f>
        <v>25</v>
      </c>
    </row>
    <row r="4" spans="1:28">
      <c r="C4">
        <v>2026</v>
      </c>
      <c r="D4">
        <f t="shared" ref="D4:U4" si="7">C4+1</f>
        <v>2027</v>
      </c>
      <c r="E4">
        <f t="shared" si="7"/>
        <v>2028</v>
      </c>
      <c r="F4">
        <f t="shared" si="7"/>
        <v>2029</v>
      </c>
      <c r="G4">
        <f t="shared" si="7"/>
        <v>2030</v>
      </c>
      <c r="H4">
        <f t="shared" si="7"/>
        <v>2031</v>
      </c>
      <c r="I4">
        <f t="shared" si="7"/>
        <v>2032</v>
      </c>
      <c r="J4">
        <f t="shared" si="7"/>
        <v>2033</v>
      </c>
      <c r="K4">
        <f t="shared" si="7"/>
        <v>2034</v>
      </c>
      <c r="L4">
        <f t="shared" si="7"/>
        <v>2035</v>
      </c>
      <c r="M4">
        <f t="shared" si="7"/>
        <v>2036</v>
      </c>
      <c r="N4">
        <f t="shared" si="7"/>
        <v>2037</v>
      </c>
      <c r="O4">
        <f t="shared" si="7"/>
        <v>2038</v>
      </c>
      <c r="P4">
        <f t="shared" si="7"/>
        <v>2039</v>
      </c>
      <c r="Q4">
        <f t="shared" si="7"/>
        <v>2040</v>
      </c>
      <c r="R4">
        <f t="shared" si="7"/>
        <v>2041</v>
      </c>
      <c r="S4">
        <f t="shared" si="7"/>
        <v>2042</v>
      </c>
      <c r="T4">
        <f t="shared" si="7"/>
        <v>2043</v>
      </c>
      <c r="U4">
        <f t="shared" si="7"/>
        <v>2044</v>
      </c>
      <c r="V4">
        <f t="shared" si="0"/>
        <v>2045</v>
      </c>
      <c r="W4">
        <f t="shared" si="1"/>
        <v>2046</v>
      </c>
      <c r="X4">
        <f t="shared" si="2"/>
        <v>2047</v>
      </c>
      <c r="Y4">
        <f t="shared" si="3"/>
        <v>2048</v>
      </c>
      <c r="Z4">
        <f t="shared" si="4"/>
        <v>2049</v>
      </c>
      <c r="AA4">
        <f t="shared" si="5"/>
        <v>2050</v>
      </c>
      <c r="AB4">
        <f t="shared" si="6"/>
        <v>2051</v>
      </c>
    </row>
    <row r="5" spans="1:28" ht="15.75">
      <c r="A5" s="204"/>
      <c r="B5" s="34"/>
    </row>
    <row r="6" spans="1:28">
      <c r="A6" s="244" t="s">
        <v>342</v>
      </c>
      <c r="B6" s="244">
        <v>43</v>
      </c>
    </row>
    <row r="7" spans="1:28">
      <c r="A7" s="244" t="s">
        <v>343</v>
      </c>
      <c r="B7" s="243">
        <v>45</v>
      </c>
      <c r="F7" s="80"/>
      <c r="G7" s="80"/>
      <c r="H7" s="80"/>
      <c r="I7" s="80"/>
      <c r="J7" s="80"/>
      <c r="K7" s="80"/>
      <c r="L7" s="80"/>
      <c r="M7" s="80"/>
      <c r="N7" s="80"/>
      <c r="O7" s="80"/>
      <c r="P7" s="80"/>
      <c r="Q7" s="80"/>
      <c r="R7" s="80"/>
      <c r="S7" s="80"/>
      <c r="T7" s="80"/>
      <c r="U7" s="80"/>
      <c r="V7" s="80"/>
      <c r="W7" s="80"/>
      <c r="X7" s="80"/>
      <c r="Y7" s="80"/>
      <c r="Z7" s="80"/>
      <c r="AA7" s="80"/>
      <c r="AB7" s="80"/>
    </row>
    <row r="8" spans="1:28">
      <c r="A8" s="244" t="s">
        <v>307</v>
      </c>
      <c r="B8" s="243">
        <v>1</v>
      </c>
      <c r="F8" s="80"/>
      <c r="G8" s="80"/>
      <c r="H8" s="80"/>
      <c r="I8" s="80"/>
      <c r="J8" s="80"/>
      <c r="K8" s="80"/>
      <c r="L8" s="80"/>
      <c r="M8" s="80"/>
      <c r="N8" s="80"/>
      <c r="O8" s="80"/>
      <c r="P8" s="80"/>
      <c r="Q8" s="80"/>
      <c r="R8" s="80"/>
      <c r="S8" s="80"/>
      <c r="T8" s="80"/>
      <c r="U8" s="80"/>
      <c r="V8" s="80"/>
      <c r="W8" s="80"/>
      <c r="X8" s="80"/>
      <c r="Y8" s="80"/>
      <c r="Z8" s="80"/>
      <c r="AA8" s="80"/>
      <c r="AB8" s="80"/>
    </row>
    <row r="9" spans="1:28">
      <c r="A9" s="244" t="s">
        <v>344</v>
      </c>
      <c r="B9" s="375"/>
      <c r="C9" s="319">
        <f>SUM('Travel Time Savings - Hours'!C21:H21)/3*'Look Up Data'!B7</f>
        <v>40425696.666666664</v>
      </c>
      <c r="D9" s="7">
        <f>C9*'Look Up Data'!$B$8</f>
        <v>40854947.597440638</v>
      </c>
      <c r="E9" s="7">
        <f>D9*'Look Up Data'!$B$8</f>
        <v>41288756.430162221</v>
      </c>
      <c r="F9" s="321">
        <f>E9*'Look Up Data'!$B$8</f>
        <v>41727171.561861388</v>
      </c>
      <c r="G9" s="321">
        <f>F9*'Look Up Data'!$B$8</f>
        <v>42170241.903460808</v>
      </c>
      <c r="H9" s="321">
        <f>G9*'Look Up Data'!$B$8</f>
        <v>42618016.885232493</v>
      </c>
      <c r="I9" s="321">
        <f>H9*'Look Up Data'!$B$8</f>
        <v>43070546.462312393</v>
      </c>
      <c r="J9" s="321">
        <f>I9*'Look Up Data'!$B$8</f>
        <v>43527881.120273545</v>
      </c>
      <c r="K9" s="321">
        <f>J9*'Look Up Data'!$B$8</f>
        <v>43990071.88075839</v>
      </c>
      <c r="L9" s="321">
        <f>K9*'Look Up Data'!$B$8</f>
        <v>44457170.307170905</v>
      </c>
      <c r="M9" s="321">
        <f>L9*'Look Up Data'!$B$8</f>
        <v>44929228.510429174</v>
      </c>
      <c r="N9" s="321">
        <f>M9*'Look Up Data'!$B$8</f>
        <v>45406299.154779032</v>
      </c>
      <c r="O9" s="321">
        <f>N9*'Look Up Data'!$B$8</f>
        <v>45888435.463669457</v>
      </c>
      <c r="P9" s="321">
        <f>O9*'Look Up Data'!$B$8</f>
        <v>46375691.225690335</v>
      </c>
      <c r="Q9" s="321">
        <f>P9*'Look Up Data'!$B$8</f>
        <v>46868120.800573297</v>
      </c>
      <c r="R9" s="321">
        <f>Q9*'Look Up Data'!$B$8</f>
        <v>47365779.125256218</v>
      </c>
      <c r="S9" s="321">
        <f>R9*'Look Up Data'!$B$8</f>
        <v>47868721.720012181</v>
      </c>
      <c r="T9" s="321">
        <f>S9*'Look Up Data'!$B$8</f>
        <v>48377004.694643475</v>
      </c>
      <c r="U9" s="321">
        <f>T9*'Look Up Data'!$B$8</f>
        <v>48890684.754741371</v>
      </c>
      <c r="V9" s="321">
        <f>U9*'Look Up Data'!$B$8</f>
        <v>49409819.208012387</v>
      </c>
      <c r="W9" s="321">
        <f>V9*'Look Up Data'!$B$8</f>
        <v>49934465.970671684</v>
      </c>
      <c r="X9" s="321">
        <f>W9*'Look Up Data'!$B$8</f>
        <v>50464683.573904388</v>
      </c>
      <c r="Y9" s="321">
        <f>X9*'Look Up Data'!$B$8</f>
        <v>51000531.170395516</v>
      </c>
      <c r="Z9" s="321">
        <f>Y9*'Look Up Data'!$B$8</f>
        <v>51542068.540929213</v>
      </c>
      <c r="AA9" s="321">
        <f>Z9*'Look Up Data'!$B$8</f>
        <v>52089356.101058088</v>
      </c>
      <c r="AB9" s="321">
        <f>AA9*'Look Up Data'!$B$8</f>
        <v>52642454.907843351</v>
      </c>
    </row>
    <row r="10" spans="1:28">
      <c r="A10" s="244" t="s">
        <v>300</v>
      </c>
      <c r="B10" s="375"/>
      <c r="C10" s="320">
        <v>0.01</v>
      </c>
      <c r="D10" s="320">
        <f>($AB10-$C10)/25+(C10)</f>
        <v>2.5600000000000001E-2</v>
      </c>
      <c r="E10" s="320">
        <f t="shared" ref="E10:AA10" si="8">($AB10-$C10)/25+(D10)</f>
        <v>4.1200000000000001E-2</v>
      </c>
      <c r="F10" s="320">
        <f t="shared" si="8"/>
        <v>5.6800000000000003E-2</v>
      </c>
      <c r="G10" s="320">
        <f t="shared" si="8"/>
        <v>7.2400000000000006E-2</v>
      </c>
      <c r="H10" s="320">
        <f t="shared" si="8"/>
        <v>8.8000000000000009E-2</v>
      </c>
      <c r="I10" s="320">
        <f t="shared" si="8"/>
        <v>0.10360000000000001</v>
      </c>
      <c r="J10" s="320">
        <f t="shared" si="8"/>
        <v>0.11920000000000001</v>
      </c>
      <c r="K10" s="320">
        <f t="shared" si="8"/>
        <v>0.1348</v>
      </c>
      <c r="L10" s="320">
        <f t="shared" si="8"/>
        <v>0.15040000000000001</v>
      </c>
      <c r="M10" s="320">
        <f t="shared" si="8"/>
        <v>0.16600000000000001</v>
      </c>
      <c r="N10" s="320">
        <f t="shared" si="8"/>
        <v>0.18160000000000001</v>
      </c>
      <c r="O10" s="320">
        <f t="shared" si="8"/>
        <v>0.19720000000000001</v>
      </c>
      <c r="P10" s="320">
        <f t="shared" si="8"/>
        <v>0.21280000000000002</v>
      </c>
      <c r="Q10" s="320">
        <f t="shared" si="8"/>
        <v>0.22840000000000002</v>
      </c>
      <c r="R10" s="320">
        <f t="shared" si="8"/>
        <v>0.24400000000000002</v>
      </c>
      <c r="S10" s="320">
        <f t="shared" si="8"/>
        <v>0.2596</v>
      </c>
      <c r="T10" s="320">
        <f t="shared" si="8"/>
        <v>0.2752</v>
      </c>
      <c r="U10" s="320">
        <f t="shared" si="8"/>
        <v>0.2908</v>
      </c>
      <c r="V10" s="320">
        <f t="shared" si="8"/>
        <v>0.30640000000000001</v>
      </c>
      <c r="W10" s="320">
        <f t="shared" si="8"/>
        <v>0.32200000000000001</v>
      </c>
      <c r="X10" s="320">
        <f t="shared" si="8"/>
        <v>0.33760000000000001</v>
      </c>
      <c r="Y10" s="320">
        <f t="shared" si="8"/>
        <v>0.35320000000000001</v>
      </c>
      <c r="Z10" s="320">
        <f t="shared" si="8"/>
        <v>0.36880000000000002</v>
      </c>
      <c r="AA10" s="320">
        <f t="shared" si="8"/>
        <v>0.38440000000000002</v>
      </c>
      <c r="AB10" s="320">
        <v>0.4</v>
      </c>
    </row>
    <row r="11" spans="1:28">
      <c r="A11" s="244" t="s">
        <v>303</v>
      </c>
      <c r="B11" s="375"/>
      <c r="C11" s="319">
        <f>C9*(1-C10)</f>
        <v>40021439.699999996</v>
      </c>
      <c r="D11" s="319">
        <f t="shared" ref="D11:AB11" si="9">D9*(1-D10)</f>
        <v>39809060.938946158</v>
      </c>
      <c r="E11" s="319">
        <f t="shared" si="9"/>
        <v>39587659.665239535</v>
      </c>
      <c r="F11" s="319">
        <f t="shared" si="9"/>
        <v>39357068.217147663</v>
      </c>
      <c r="G11" s="319">
        <f t="shared" si="9"/>
        <v>39117116.389650248</v>
      </c>
      <c r="H11" s="319">
        <f t="shared" si="9"/>
        <v>38867631.399332032</v>
      </c>
      <c r="I11" s="319">
        <f t="shared" si="9"/>
        <v>38608437.848816827</v>
      </c>
      <c r="J11" s="319">
        <f t="shared" si="9"/>
        <v>38339357.690736942</v>
      </c>
      <c r="K11" s="319">
        <f t="shared" si="9"/>
        <v>38060210.19123216</v>
      </c>
      <c r="L11" s="319">
        <f t="shared" si="9"/>
        <v>37770811.892972402</v>
      </c>
      <c r="M11" s="319">
        <f t="shared" si="9"/>
        <v>37470976.577697933</v>
      </c>
      <c r="N11" s="319">
        <f t="shared" si="9"/>
        <v>37160515.228271164</v>
      </c>
      <c r="O11" s="319">
        <f t="shared" si="9"/>
        <v>36839235.990233839</v>
      </c>
      <c r="P11" s="319">
        <f t="shared" si="9"/>
        <v>36506944.132863432</v>
      </c>
      <c r="Q11" s="319">
        <f t="shared" si="9"/>
        <v>36163442.009722352</v>
      </c>
      <c r="R11" s="319">
        <f t="shared" si="9"/>
        <v>35808529.0186937</v>
      </c>
      <c r="S11" s="319">
        <f t="shared" si="9"/>
        <v>35442001.561497018</v>
      </c>
      <c r="T11" s="319">
        <f t="shared" si="9"/>
        <v>35063653.00267759</v>
      </c>
      <c r="U11" s="319">
        <f t="shared" si="9"/>
        <v>34673273.628062584</v>
      </c>
      <c r="V11" s="319">
        <f t="shared" si="9"/>
        <v>34270650.60267739</v>
      </c>
      <c r="W11" s="319">
        <f t="shared" si="9"/>
        <v>33855567.928115398</v>
      </c>
      <c r="X11" s="319">
        <f t="shared" si="9"/>
        <v>33427806.399354264</v>
      </c>
      <c r="Y11" s="319">
        <f t="shared" si="9"/>
        <v>32987143.561011821</v>
      </c>
      <c r="Z11" s="319">
        <f t="shared" si="9"/>
        <v>32533353.663034517</v>
      </c>
      <c r="AA11" s="319">
        <f t="shared" si="9"/>
        <v>32066207.615811355</v>
      </c>
      <c r="AB11" s="319">
        <f t="shared" si="9"/>
        <v>31585472.944706008</v>
      </c>
    </row>
    <row r="12" spans="1:28">
      <c r="A12" s="244" t="s">
        <v>304</v>
      </c>
      <c r="B12" s="375"/>
      <c r="C12" s="319">
        <f>C11*1/$B6</f>
        <v>930731.15581395337</v>
      </c>
      <c r="D12" s="319">
        <f t="shared" ref="D12:AB12" si="10">D11*1/$B6</f>
        <v>925792.114859213</v>
      </c>
      <c r="E12" s="319">
        <f t="shared" si="10"/>
        <v>920643.24802882643</v>
      </c>
      <c r="F12" s="319">
        <f t="shared" si="10"/>
        <v>915280.65621273639</v>
      </c>
      <c r="G12" s="319">
        <f t="shared" si="10"/>
        <v>909700.38115465688</v>
      </c>
      <c r="H12" s="319">
        <f t="shared" si="10"/>
        <v>903898.40463562869</v>
      </c>
      <c r="I12" s="319">
        <f t="shared" si="10"/>
        <v>897870.64764690294</v>
      </c>
      <c r="J12" s="319">
        <f t="shared" si="10"/>
        <v>891612.96955202194</v>
      </c>
      <c r="K12" s="319">
        <f t="shared" si="10"/>
        <v>885121.16723795724</v>
      </c>
      <c r="L12" s="319">
        <f t="shared" si="10"/>
        <v>878390.97425517219</v>
      </c>
      <c r="M12" s="319">
        <f t="shared" si="10"/>
        <v>871418.05994646356</v>
      </c>
      <c r="N12" s="319">
        <f t="shared" si="10"/>
        <v>864198.02856444567</v>
      </c>
      <c r="O12" s="319">
        <f t="shared" si="10"/>
        <v>856726.41837753111</v>
      </c>
      <c r="P12" s="319">
        <f t="shared" si="10"/>
        <v>848998.70076426584</v>
      </c>
      <c r="Q12" s="319">
        <f t="shared" si="10"/>
        <v>841010.27929586871</v>
      </c>
      <c r="R12" s="319">
        <f t="shared" si="10"/>
        <v>832756.48880683025</v>
      </c>
      <c r="S12" s="319">
        <f t="shared" si="10"/>
        <v>824232.59445341898</v>
      </c>
      <c r="T12" s="319">
        <f t="shared" si="10"/>
        <v>815433.79075994389</v>
      </c>
      <c r="U12" s="319">
        <f t="shared" si="10"/>
        <v>806355.20065261819</v>
      </c>
      <c r="V12" s="319">
        <f t="shared" si="10"/>
        <v>796991.8744808695</v>
      </c>
      <c r="W12" s="319">
        <f t="shared" si="10"/>
        <v>787338.78902593954</v>
      </c>
      <c r="X12" s="319">
        <f t="shared" si="10"/>
        <v>777390.84649661079</v>
      </c>
      <c r="Y12" s="319">
        <f t="shared" si="10"/>
        <v>767142.87351190287</v>
      </c>
      <c r="Z12" s="319">
        <f t="shared" si="10"/>
        <v>756589.62007057015</v>
      </c>
      <c r="AA12" s="319">
        <f t="shared" si="10"/>
        <v>745725.7585072408</v>
      </c>
      <c r="AB12" s="319">
        <f t="shared" si="10"/>
        <v>734545.88243502344</v>
      </c>
    </row>
    <row r="13" spans="1:28">
      <c r="A13" s="244" t="s">
        <v>305</v>
      </c>
      <c r="B13" s="375"/>
      <c r="C13" s="319">
        <f>C11*(1/$B7)</f>
        <v>889365.32666666654</v>
      </c>
      <c r="D13" s="319">
        <f t="shared" ref="D13:AB13" si="11">D11*(1/$B7)</f>
        <v>884645.79864324804</v>
      </c>
      <c r="E13" s="319">
        <f t="shared" si="11"/>
        <v>879725.77033865638</v>
      </c>
      <c r="F13" s="319">
        <f t="shared" si="11"/>
        <v>874601.51593661483</v>
      </c>
      <c r="G13" s="319">
        <f t="shared" si="11"/>
        <v>869269.25310333888</v>
      </c>
      <c r="H13" s="319">
        <f t="shared" si="11"/>
        <v>863725.14220737852</v>
      </c>
      <c r="I13" s="319">
        <f t="shared" si="11"/>
        <v>857965.28552926285</v>
      </c>
      <c r="J13" s="319">
        <f t="shared" si="11"/>
        <v>851985.726460821</v>
      </c>
      <c r="K13" s="319">
        <f t="shared" si="11"/>
        <v>845782.44869404798</v>
      </c>
      <c r="L13" s="319">
        <f t="shared" si="11"/>
        <v>839351.37539938674</v>
      </c>
      <c r="M13" s="319">
        <f t="shared" si="11"/>
        <v>832688.36839328741</v>
      </c>
      <c r="N13" s="319">
        <f t="shared" si="11"/>
        <v>825789.22729491477</v>
      </c>
      <c r="O13" s="319">
        <f t="shared" si="11"/>
        <v>818649.68867186306</v>
      </c>
      <c r="P13" s="319">
        <f t="shared" si="11"/>
        <v>811265.42517474294</v>
      </c>
      <c r="Q13" s="319">
        <f t="shared" si="11"/>
        <v>803632.04466049676</v>
      </c>
      <c r="R13" s="319">
        <f t="shared" si="11"/>
        <v>795745.08930430445</v>
      </c>
      <c r="S13" s="319">
        <f t="shared" si="11"/>
        <v>787600.03469993372</v>
      </c>
      <c r="T13" s="319">
        <f t="shared" si="11"/>
        <v>779192.28894839087</v>
      </c>
      <c r="U13" s="319">
        <f t="shared" si="11"/>
        <v>770517.1917347241</v>
      </c>
      <c r="V13" s="319">
        <f t="shared" si="11"/>
        <v>761570.01339283097</v>
      </c>
      <c r="W13" s="319">
        <f t="shared" si="11"/>
        <v>752345.95395811996</v>
      </c>
      <c r="X13" s="319">
        <f t="shared" si="11"/>
        <v>742840.14220787259</v>
      </c>
      <c r="Y13" s="319">
        <f t="shared" si="11"/>
        <v>733047.63468915166</v>
      </c>
      <c r="Z13" s="319">
        <f t="shared" si="11"/>
        <v>722963.41473410046</v>
      </c>
      <c r="AA13" s="319">
        <f t="shared" si="11"/>
        <v>712582.3914624746</v>
      </c>
      <c r="AB13" s="319">
        <f t="shared" si="11"/>
        <v>701899.39877124468</v>
      </c>
    </row>
    <row r="14" spans="1:28">
      <c r="A14" s="244" t="s">
        <v>299</v>
      </c>
      <c r="B14" s="244"/>
      <c r="C14" s="319">
        <f>C12-C13</f>
        <v>41365.82914728683</v>
      </c>
      <c r="D14" s="319">
        <f t="shared" ref="D14:AB14" si="12">D12-D13</f>
        <v>41146.316215964966</v>
      </c>
      <c r="E14" s="319">
        <f t="shared" si="12"/>
        <v>40917.477690170053</v>
      </c>
      <c r="F14" s="319">
        <f t="shared" si="12"/>
        <v>40679.140276121558</v>
      </c>
      <c r="G14" s="319">
        <f t="shared" si="12"/>
        <v>40431.128051317995</v>
      </c>
      <c r="H14" s="319">
        <f t="shared" si="12"/>
        <v>40173.262428250164</v>
      </c>
      <c r="I14" s="319">
        <f t="shared" si="12"/>
        <v>39905.362117640092</v>
      </c>
      <c r="J14" s="319">
        <f t="shared" si="12"/>
        <v>39627.243091200944</v>
      </c>
      <c r="K14" s="319">
        <f t="shared" si="12"/>
        <v>39338.718543909257</v>
      </c>
      <c r="L14" s="319">
        <f t="shared" si="12"/>
        <v>39039.598855785443</v>
      </c>
      <c r="M14" s="319">
        <f t="shared" si="12"/>
        <v>38729.691553176148</v>
      </c>
      <c r="N14" s="319">
        <f t="shared" si="12"/>
        <v>38408.801269530901</v>
      </c>
      <c r="O14" s="319">
        <f t="shared" si="12"/>
        <v>38076.729705668055</v>
      </c>
      <c r="P14" s="319">
        <f t="shared" si="12"/>
        <v>37733.275589522906</v>
      </c>
      <c r="Q14" s="319">
        <f t="shared" si="12"/>
        <v>37378.234635371948</v>
      </c>
      <c r="R14" s="319">
        <f t="shared" si="12"/>
        <v>37011.399502525805</v>
      </c>
      <c r="S14" s="319">
        <f t="shared" si="12"/>
        <v>36632.559753485257</v>
      </c>
      <c r="T14" s="319">
        <f t="shared" si="12"/>
        <v>36241.501811553026</v>
      </c>
      <c r="U14" s="319">
        <f t="shared" si="12"/>
        <v>35838.008917894098</v>
      </c>
      <c r="V14" s="319">
        <f t="shared" si="12"/>
        <v>35421.861088038539</v>
      </c>
      <c r="W14" s="319">
        <f t="shared" si="12"/>
        <v>34992.835067819571</v>
      </c>
      <c r="X14" s="319">
        <f t="shared" si="12"/>
        <v>34550.704288738198</v>
      </c>
      <c r="Y14" s="319">
        <f t="shared" si="12"/>
        <v>34095.238822751213</v>
      </c>
      <c r="Z14" s="319">
        <f t="shared" si="12"/>
        <v>33626.205336469691</v>
      </c>
      <c r="AA14" s="319">
        <f t="shared" si="12"/>
        <v>33143.367044766201</v>
      </c>
      <c r="AB14" s="319">
        <f t="shared" si="12"/>
        <v>32646.483663778752</v>
      </c>
    </row>
    <row r="15" spans="1:28">
      <c r="A15" s="244"/>
      <c r="B15" s="244"/>
    </row>
    <row r="16" spans="1:28">
      <c r="A16" s="244" t="s">
        <v>325</v>
      </c>
      <c r="B16" s="244"/>
      <c r="C16" s="64">
        <f>C14*$B18*1.1</f>
        <v>54875.908946790711</v>
      </c>
      <c r="D16" s="64">
        <f t="shared" ref="D16:AB16" si="13">D14*$B18*1.1</f>
        <v>54584.703092099131</v>
      </c>
      <c r="E16" s="64">
        <f t="shared" si="13"/>
        <v>54281.125903779597</v>
      </c>
      <c r="F16" s="64">
        <f t="shared" si="13"/>
        <v>53964.94749030286</v>
      </c>
      <c r="G16" s="64">
        <f t="shared" si="13"/>
        <v>53635.934472878456</v>
      </c>
      <c r="H16" s="64">
        <f t="shared" si="13"/>
        <v>53293.849937316671</v>
      </c>
      <c r="I16" s="64">
        <f t="shared" si="13"/>
        <v>52938.453385261346</v>
      </c>
      <c r="J16" s="64">
        <f t="shared" si="13"/>
        <v>52569.500684787177</v>
      </c>
      <c r="K16" s="64">
        <f t="shared" si="13"/>
        <v>52186.744020350023</v>
      </c>
      <c r="L16" s="64">
        <f t="shared" si="13"/>
        <v>51789.931842084974</v>
      </c>
      <c r="M16" s="64">
        <f t="shared" si="13"/>
        <v>51378.808814443481</v>
      </c>
      <c r="N16" s="64">
        <f t="shared" si="13"/>
        <v>50953.115764159695</v>
      </c>
      <c r="O16" s="64">
        <f t="shared" si="13"/>
        <v>50512.589627539244</v>
      </c>
      <c r="P16" s="64">
        <f t="shared" si="13"/>
        <v>50056.963397061088</v>
      </c>
      <c r="Q16" s="64">
        <f t="shared" si="13"/>
        <v>49585.966067284426</v>
      </c>
      <c r="R16" s="64">
        <f t="shared" si="13"/>
        <v>49099.322580050735</v>
      </c>
      <c r="S16" s="64">
        <f t="shared" si="13"/>
        <v>48596.753768973547</v>
      </c>
      <c r="T16" s="64">
        <f t="shared" si="13"/>
        <v>48077.97630320624</v>
      </c>
      <c r="U16" s="64">
        <f t="shared" si="13"/>
        <v>47542.702630478314</v>
      </c>
      <c r="V16" s="64">
        <f t="shared" si="13"/>
        <v>46990.640919391924</v>
      </c>
      <c r="W16" s="64">
        <f t="shared" si="13"/>
        <v>46421.495000969444</v>
      </c>
      <c r="X16" s="64">
        <f t="shared" si="13"/>
        <v>45834.964309440096</v>
      </c>
      <c r="Y16" s="64">
        <f t="shared" si="13"/>
        <v>45230.743822261757</v>
      </c>
      <c r="Z16" s="64">
        <f t="shared" si="13"/>
        <v>44608.523999360696</v>
      </c>
      <c r="AA16" s="64">
        <f t="shared" si="13"/>
        <v>43967.990721586844</v>
      </c>
      <c r="AB16" s="64">
        <f t="shared" si="13"/>
        <v>43308.825228368893</v>
      </c>
    </row>
    <row r="17" spans="1:4">
      <c r="A17" s="244"/>
      <c r="B17" s="244"/>
    </row>
    <row r="18" spans="1:4">
      <c r="A18" s="244" t="s">
        <v>306</v>
      </c>
      <c r="B18" s="9">
        <f>1.39-0.184</f>
        <v>1.206</v>
      </c>
    </row>
    <row r="23" spans="1:4" ht="15.75" thickBot="1"/>
    <row r="24" spans="1:4" ht="15.75" thickBot="1">
      <c r="A24" s="465" t="s">
        <v>324</v>
      </c>
      <c r="B24" s="466"/>
      <c r="C24" s="466"/>
      <c r="D24" s="467"/>
    </row>
    <row r="25" spans="1:4" ht="65.25" thickBot="1">
      <c r="A25" s="322"/>
      <c r="B25" s="323" t="s">
        <v>308</v>
      </c>
      <c r="C25" s="324" t="s">
        <v>309</v>
      </c>
      <c r="D25" s="325" t="s">
        <v>310</v>
      </c>
    </row>
    <row r="26" spans="1:4" ht="15.75" thickBot="1">
      <c r="A26" s="326" t="s">
        <v>311</v>
      </c>
      <c r="B26" s="468" t="s">
        <v>312</v>
      </c>
      <c r="C26" s="469"/>
      <c r="D26" s="470"/>
    </row>
    <row r="27" spans="1:4">
      <c r="A27" s="327">
        <v>45</v>
      </c>
      <c r="B27" s="328">
        <v>43</v>
      </c>
      <c r="C27" s="329">
        <v>57</v>
      </c>
      <c r="D27" s="330">
        <v>55</v>
      </c>
    </row>
    <row r="28" spans="1:4">
      <c r="A28" s="327">
        <v>55</v>
      </c>
      <c r="B28" s="331">
        <v>45</v>
      </c>
      <c r="C28" s="332">
        <v>55</v>
      </c>
      <c r="D28" s="333">
        <v>46</v>
      </c>
    </row>
    <row r="29" spans="1:4">
      <c r="A29" s="327">
        <v>65</v>
      </c>
      <c r="B29" s="331">
        <v>38</v>
      </c>
      <c r="C29" s="332">
        <v>45</v>
      </c>
      <c r="D29" s="333">
        <v>38</v>
      </c>
    </row>
    <row r="30" spans="1:4" ht="15.75" thickBot="1">
      <c r="A30" s="334">
        <v>75</v>
      </c>
      <c r="B30" s="335">
        <v>32</v>
      </c>
      <c r="C30" s="336">
        <v>37</v>
      </c>
      <c r="D30" s="337">
        <v>33</v>
      </c>
    </row>
    <row r="31" spans="1:4">
      <c r="A31" s="471" t="s">
        <v>321</v>
      </c>
      <c r="B31" s="471"/>
      <c r="C31" s="471"/>
      <c r="D31" s="471"/>
    </row>
    <row r="32" spans="1:4">
      <c r="A32" s="339"/>
      <c r="B32" s="339"/>
      <c r="C32" s="339"/>
      <c r="D32" s="339"/>
    </row>
    <row r="33" spans="1:4">
      <c r="A33" s="401" t="s">
        <v>322</v>
      </c>
      <c r="B33" s="401"/>
      <c r="C33" s="401"/>
      <c r="D33" s="338"/>
    </row>
    <row r="34" spans="1:4" ht="14.45" customHeight="1">
      <c r="A34" s="464" t="s">
        <v>323</v>
      </c>
      <c r="B34" s="464"/>
      <c r="C34" s="464"/>
      <c r="D34" s="464"/>
    </row>
    <row r="35" spans="1:4">
      <c r="A35" s="464"/>
      <c r="B35" s="464"/>
      <c r="C35" s="464"/>
      <c r="D35" s="464"/>
    </row>
    <row r="36" spans="1:4">
      <c r="A36" s="464"/>
      <c r="B36" s="464"/>
      <c r="C36" s="464"/>
      <c r="D36" s="464"/>
    </row>
    <row r="37" spans="1:4">
      <c r="A37" s="464"/>
      <c r="B37" s="464"/>
      <c r="C37" s="464"/>
      <c r="D37" s="464"/>
    </row>
    <row r="38" spans="1:4">
      <c r="A38" s="464"/>
      <c r="B38" s="464"/>
      <c r="C38" s="464"/>
      <c r="D38" s="464"/>
    </row>
    <row r="39" spans="1:4">
      <c r="A39" s="338"/>
      <c r="B39" s="338"/>
      <c r="C39" s="338"/>
      <c r="D39" s="338"/>
    </row>
    <row r="40" spans="1:4">
      <c r="A40" s="338"/>
      <c r="B40" s="338"/>
      <c r="C40" s="338"/>
      <c r="D40" s="338"/>
    </row>
    <row r="41" spans="1:4">
      <c r="A41" s="338"/>
      <c r="B41" s="338"/>
      <c r="C41" s="338"/>
      <c r="D41" s="338"/>
    </row>
    <row r="42" spans="1:4">
      <c r="A42" s="462"/>
      <c r="B42" s="462"/>
      <c r="C42" s="462"/>
      <c r="D42" s="462"/>
    </row>
    <row r="43" spans="1:4">
      <c r="A43" s="463"/>
      <c r="B43" s="463"/>
      <c r="C43" s="463"/>
      <c r="D43" s="463"/>
    </row>
    <row r="44" spans="1:4">
      <c r="A44" s="338"/>
      <c r="B44" s="338"/>
      <c r="C44" s="338"/>
      <c r="D44" s="338"/>
    </row>
  </sheetData>
  <mergeCells count="6">
    <mergeCell ref="A42:D42"/>
    <mergeCell ref="A43:D43"/>
    <mergeCell ref="A34:D38"/>
    <mergeCell ref="A24:D24"/>
    <mergeCell ref="B26:D26"/>
    <mergeCell ref="A31:D31"/>
  </mergeCells>
  <pageMargins left="0.7" right="0.7" top="0.75" bottom="0.75" header="0.3" footer="0.3"/>
  <pageSetup paperSize="3" orientation="landscape"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00DC-CE7A-43A3-9180-8A2EC9628016}">
  <sheetPr>
    <tabColor theme="9" tint="0.39997558519241921"/>
  </sheetPr>
  <dimension ref="A1:AB19"/>
  <sheetViews>
    <sheetView zoomScale="75" zoomScaleNormal="75" workbookViewId="0">
      <selection activeCell="D6" sqref="D6"/>
    </sheetView>
  </sheetViews>
  <sheetFormatPr defaultRowHeight="15"/>
  <cols>
    <col min="1" max="1" width="30.5703125" customWidth="1"/>
    <col min="2" max="2" width="9.7109375" customWidth="1"/>
    <col min="4" max="28" width="11.5703125" customWidth="1"/>
  </cols>
  <sheetData>
    <row r="1" spans="1:28" ht="18.75">
      <c r="A1" s="4" t="s">
        <v>345</v>
      </c>
    </row>
    <row r="3" spans="1:28">
      <c r="A3" s="1" t="s">
        <v>36</v>
      </c>
      <c r="B3" s="1"/>
      <c r="D3">
        <v>1</v>
      </c>
      <c r="E3">
        <f t="shared" ref="E3:T3" si="0">D3+1</f>
        <v>2</v>
      </c>
      <c r="F3">
        <f t="shared" si="0"/>
        <v>3</v>
      </c>
      <c r="G3">
        <f t="shared" si="0"/>
        <v>4</v>
      </c>
      <c r="H3">
        <f t="shared" si="0"/>
        <v>5</v>
      </c>
      <c r="I3">
        <f t="shared" si="0"/>
        <v>6</v>
      </c>
      <c r="J3">
        <f t="shared" si="0"/>
        <v>7</v>
      </c>
      <c r="K3">
        <f t="shared" si="0"/>
        <v>8</v>
      </c>
      <c r="L3">
        <f t="shared" si="0"/>
        <v>9</v>
      </c>
      <c r="M3">
        <f t="shared" si="0"/>
        <v>10</v>
      </c>
      <c r="N3">
        <f t="shared" si="0"/>
        <v>11</v>
      </c>
      <c r="O3">
        <f t="shared" si="0"/>
        <v>12</v>
      </c>
      <c r="P3">
        <f t="shared" si="0"/>
        <v>13</v>
      </c>
      <c r="Q3">
        <f t="shared" si="0"/>
        <v>14</v>
      </c>
      <c r="R3">
        <f t="shared" si="0"/>
        <v>15</v>
      </c>
      <c r="S3">
        <f t="shared" si="0"/>
        <v>16</v>
      </c>
      <c r="T3">
        <f t="shared" si="0"/>
        <v>17</v>
      </c>
      <c r="U3">
        <f t="shared" ref="U3:AB4" si="1">T3+1</f>
        <v>18</v>
      </c>
      <c r="V3">
        <f t="shared" si="1"/>
        <v>19</v>
      </c>
      <c r="W3">
        <f t="shared" si="1"/>
        <v>20</v>
      </c>
      <c r="X3">
        <f t="shared" si="1"/>
        <v>21</v>
      </c>
      <c r="Y3">
        <f t="shared" si="1"/>
        <v>22</v>
      </c>
      <c r="Z3">
        <f t="shared" si="1"/>
        <v>23</v>
      </c>
      <c r="AA3">
        <f t="shared" si="1"/>
        <v>24</v>
      </c>
      <c r="AB3">
        <f t="shared" si="1"/>
        <v>25</v>
      </c>
    </row>
    <row r="4" spans="1:28">
      <c r="C4">
        <v>2026</v>
      </c>
      <c r="D4">
        <f t="shared" ref="D4:U4" si="2">C4+1</f>
        <v>2027</v>
      </c>
      <c r="E4">
        <f t="shared" si="2"/>
        <v>2028</v>
      </c>
      <c r="F4">
        <f t="shared" si="2"/>
        <v>2029</v>
      </c>
      <c r="G4">
        <f t="shared" si="2"/>
        <v>2030</v>
      </c>
      <c r="H4">
        <f t="shared" si="2"/>
        <v>2031</v>
      </c>
      <c r="I4">
        <f t="shared" si="2"/>
        <v>2032</v>
      </c>
      <c r="J4">
        <f t="shared" si="2"/>
        <v>2033</v>
      </c>
      <c r="K4">
        <f t="shared" si="2"/>
        <v>2034</v>
      </c>
      <c r="L4">
        <f t="shared" si="2"/>
        <v>2035</v>
      </c>
      <c r="M4">
        <f t="shared" si="2"/>
        <v>2036</v>
      </c>
      <c r="N4">
        <f t="shared" si="2"/>
        <v>2037</v>
      </c>
      <c r="O4">
        <f t="shared" si="2"/>
        <v>2038</v>
      </c>
      <c r="P4">
        <f t="shared" si="2"/>
        <v>2039</v>
      </c>
      <c r="Q4">
        <f t="shared" si="2"/>
        <v>2040</v>
      </c>
      <c r="R4">
        <f t="shared" si="2"/>
        <v>2041</v>
      </c>
      <c r="S4">
        <f t="shared" si="2"/>
        <v>2042</v>
      </c>
      <c r="T4">
        <f t="shared" si="2"/>
        <v>2043</v>
      </c>
      <c r="U4">
        <f t="shared" si="2"/>
        <v>2044</v>
      </c>
      <c r="V4">
        <f t="shared" si="1"/>
        <v>2045</v>
      </c>
      <c r="W4">
        <f t="shared" si="1"/>
        <v>2046</v>
      </c>
      <c r="X4">
        <f t="shared" si="1"/>
        <v>2047</v>
      </c>
      <c r="Y4">
        <f t="shared" si="1"/>
        <v>2048</v>
      </c>
      <c r="Z4">
        <f t="shared" si="1"/>
        <v>2049</v>
      </c>
      <c r="AA4">
        <f t="shared" si="1"/>
        <v>2050</v>
      </c>
      <c r="AB4">
        <f t="shared" si="1"/>
        <v>2051</v>
      </c>
    </row>
    <row r="5" spans="1:28">
      <c r="A5" t="s">
        <v>296</v>
      </c>
      <c r="D5" s="19">
        <f>'Travel Time Savings - Hours'!E11</f>
        <v>19570.618921137338</v>
      </c>
      <c r="E5" s="19">
        <f>'Travel Time Savings - Hours'!F11</f>
        <v>19778.425021722065</v>
      </c>
      <c r="F5" s="19">
        <f>'Travel Time Savings - Hours'!G11</f>
        <v>19988.437663429188</v>
      </c>
      <c r="G5" s="19">
        <f>'Travel Time Savings - Hours'!H11</f>
        <v>20200.680275906398</v>
      </c>
      <c r="H5" s="19">
        <f>'Travel Time Savings - Hours'!I11</f>
        <v>20415.176537583695</v>
      </c>
      <c r="I5" s="19">
        <f>'Travel Time Savings - Hours'!J11</f>
        <v>20631.950378315021</v>
      </c>
      <c r="J5" s="19">
        <f>'Travel Time Savings - Hours'!K11</f>
        <v>20851.025982047951</v>
      </c>
      <c r="K5" s="19">
        <f>'Travel Time Savings - Hours'!L11</f>
        <v>21072.427789521724</v>
      </c>
      <c r="L5" s="19">
        <f>'Travel Time Savings - Hours'!M11</f>
        <v>21296.180500993931</v>
      </c>
      <c r="M5" s="19">
        <f>'Travel Time Savings - Hours'!N11</f>
        <v>21522.309078996146</v>
      </c>
      <c r="N5" s="19">
        <f>'Travel Time Savings - Hours'!O11</f>
        <v>21750.838751118827</v>
      </c>
      <c r="O5" s="19">
        <f>'Travel Time Savings - Hours'!P11</f>
        <v>21981.795012825776</v>
      </c>
      <c r="P5" s="19">
        <f>'Travel Time Savings - Hours'!Q11</f>
        <v>22215.203630298496</v>
      </c>
      <c r="Q5" s="19">
        <f>'Travel Time Savings - Hours'!R11</f>
        <v>22451.090643310741</v>
      </c>
      <c r="R5" s="19">
        <f>'Travel Time Savings - Hours'!S11</f>
        <v>22689.482368133591</v>
      </c>
      <c r="S5" s="19">
        <f>'Travel Time Savings - Hours'!T11</f>
        <v>22930.405400471383</v>
      </c>
      <c r="T5" s="19">
        <f>'Travel Time Savings - Hours'!U11</f>
        <v>23173.886618428798</v>
      </c>
      <c r="U5" s="19">
        <f>'Travel Time Savings - Hours'!V11</f>
        <v>23419.953185509468</v>
      </c>
      <c r="V5" s="19">
        <f>'Travel Time Savings - Hours'!W11</f>
        <v>23668.632553646425</v>
      </c>
      <c r="W5" s="19">
        <f>'Travel Time Savings - Hours'!X11</f>
        <v>23919.952466264709</v>
      </c>
      <c r="X5" s="19">
        <f>'Travel Time Savings - Hours'!Y11</f>
        <v>24173.940961376524</v>
      </c>
      <c r="Y5" s="19">
        <f>'Travel Time Savings - Hours'!Z11</f>
        <v>24430.626374709234</v>
      </c>
      <c r="Z5" s="19">
        <f>'Travel Time Savings - Hours'!AA11</f>
        <v>24690.037342866581</v>
      </c>
      <c r="AA5" s="19">
        <f>'Travel Time Savings - Hours'!AB11</f>
        <v>24952.202806523477</v>
      </c>
      <c r="AB5" s="19">
        <f>'Travel Time Savings - Hours'!AC11</f>
        <v>25217.152013654715</v>
      </c>
    </row>
    <row r="6" spans="1:28">
      <c r="A6" t="s">
        <v>293</v>
      </c>
      <c r="D6" s="181">
        <f>D5*'Look Up Data'!$B$11*'Supply Chain $ Benefits'!$B$16</f>
        <v>559422.9800979842</v>
      </c>
      <c r="E6" s="181">
        <f>E5*'Look Up Data'!$B$11*'Supply Chain $ Benefits'!$B$16</f>
        <v>565363.08391075081</v>
      </c>
      <c r="F6" s="181">
        <f>F5*'Look Up Data'!$B$11*'Supply Chain $ Benefits'!$B$16</f>
        <v>571366.2613450198</v>
      </c>
      <c r="G6" s="181">
        <f>G5*'Look Up Data'!$B$11*'Supply Chain $ Benefits'!$B$16</f>
        <v>577433.1821334851</v>
      </c>
      <c r="H6" s="181">
        <f>H5*'Look Up Data'!$B$11*'Supply Chain $ Benefits'!$B$16</f>
        <v>583564.5231202431</v>
      </c>
      <c r="I6" s="181">
        <f>I5*'Look Up Data'!$B$11*'Supply Chain $ Benefits'!$B$16</f>
        <v>589760.96833630255</v>
      </c>
      <c r="J6" s="181">
        <f>J5*'Look Up Data'!$B$11*'Supply Chain $ Benefits'!$B$16</f>
        <v>596023.20907589793</v>
      </c>
      <c r="K6" s="181">
        <f>K5*'Look Up Data'!$B$11*'Supply Chain $ Benefits'!$B$16</f>
        <v>602351.94397361157</v>
      </c>
      <c r="L6" s="181">
        <f>L5*'Look Up Data'!$B$11*'Supply Chain $ Benefits'!$B$16</f>
        <v>608747.87908231642</v>
      </c>
      <c r="M6" s="181">
        <f>M5*'Look Up Data'!$B$11*'Supply Chain $ Benefits'!$B$16</f>
        <v>615211.72795194469</v>
      </c>
      <c r="N6" s="181">
        <f>N5*'Look Up Data'!$B$11*'Supply Chain $ Benefits'!$B$16</f>
        <v>621744.21170909377</v>
      </c>
      <c r="O6" s="181">
        <f>O5*'Look Up Data'!$B$11*'Supply Chain $ Benefits'!$B$16</f>
        <v>628346.05913747777</v>
      </c>
      <c r="P6" s="181">
        <f>P5*'Look Up Data'!$B$11*'Supply Chain $ Benefits'!$B$16</f>
        <v>635018.00675923191</v>
      </c>
      <c r="Q6" s="181">
        <f>Q5*'Look Up Data'!$B$11*'Supply Chain $ Benefits'!$B$16</f>
        <v>641760.79891708214</v>
      </c>
      <c r="R6" s="181">
        <f>R5*'Look Up Data'!$B$11*'Supply Chain $ Benefits'!$B$16</f>
        <v>648575.18785738596</v>
      </c>
      <c r="S6" s="181">
        <f>S5*'Look Up Data'!$B$11*'Supply Chain $ Benefits'!$B$16</f>
        <v>655461.93381405482</v>
      </c>
      <c r="T6" s="181">
        <f>T5*'Look Up Data'!$B$11*'Supply Chain $ Benefits'!$B$16</f>
        <v>662421.80509336886</v>
      </c>
      <c r="U6" s="181">
        <f>U5*'Look Up Data'!$B$11*'Supply Chain $ Benefits'!$B$16</f>
        <v>669455.57815969095</v>
      </c>
      <c r="V6" s="181">
        <f>V5*'Look Up Data'!$B$11*'Supply Chain $ Benefits'!$B$16</f>
        <v>676564.03772209177</v>
      </c>
      <c r="W6" s="181">
        <f>W5*'Look Up Data'!$B$11*'Supply Chain $ Benefits'!$B$16</f>
        <v>683747.97682189394</v>
      </c>
      <c r="X6" s="181">
        <f>X5*'Look Up Data'!$B$11*'Supply Chain $ Benefits'!$B$16</f>
        <v>691008.19692114636</v>
      </c>
      <c r="Y6" s="181">
        <f>Y5*'Look Up Data'!$B$11*'Supply Chain $ Benefits'!$B$16</f>
        <v>698345.50799203839</v>
      </c>
      <c r="Z6" s="181">
        <f>Z5*'Look Up Data'!$B$11*'Supply Chain $ Benefits'!$B$16</f>
        <v>705760.72860726109</v>
      </c>
      <c r="AA6" s="181">
        <f>AA5*'Look Up Data'!$B$11*'Supply Chain $ Benefits'!$B$16</f>
        <v>713254.68603133166</v>
      </c>
      <c r="AB6" s="181">
        <f>AB5*'Look Up Data'!$B$11*'Supply Chain $ Benefits'!$B$16</f>
        <v>720828.216312884</v>
      </c>
    </row>
    <row r="10" spans="1:28" ht="20.100000000000001" customHeight="1">
      <c r="A10" s="290" t="s">
        <v>257</v>
      </c>
      <c r="B10" s="314" t="s">
        <v>258</v>
      </c>
      <c r="C10" s="291"/>
    </row>
    <row r="11" spans="1:28" ht="17.100000000000001" customHeight="1">
      <c r="A11" s="292" t="s">
        <v>259</v>
      </c>
      <c r="B11" s="293">
        <v>1.05</v>
      </c>
      <c r="C11" s="291"/>
    </row>
    <row r="12" spans="1:28" ht="24.95" customHeight="1">
      <c r="A12" s="292" t="s">
        <v>292</v>
      </c>
      <c r="B12" s="293">
        <v>0.92</v>
      </c>
      <c r="C12" s="291"/>
    </row>
    <row r="13" spans="1:28" ht="17.100000000000001" customHeight="1">
      <c r="A13" s="292" t="s">
        <v>260</v>
      </c>
      <c r="B13" s="293">
        <v>0.74</v>
      </c>
      <c r="C13" s="291"/>
    </row>
    <row r="14" spans="1:28" ht="17.100000000000001" customHeight="1">
      <c r="A14" s="292" t="s">
        <v>261</v>
      </c>
      <c r="B14" s="293">
        <v>1.19</v>
      </c>
      <c r="C14" s="291"/>
    </row>
    <row r="15" spans="1:28" ht="17.100000000000001" customHeight="1">
      <c r="A15" s="292" t="s">
        <v>262</v>
      </c>
      <c r="B15" s="293">
        <f>AVERAGE(B11:B14)</f>
        <v>0.97499999999999998</v>
      </c>
      <c r="C15" s="291"/>
    </row>
    <row r="16" spans="1:28" ht="17.100000000000001" customHeight="1">
      <c r="A16" s="292" t="s">
        <v>263</v>
      </c>
      <c r="B16" s="293">
        <f>B15*('Look Up Data'!C78*1)*1.02</f>
        <v>1.1667280997304583</v>
      </c>
      <c r="C16" s="291"/>
    </row>
    <row r="17" spans="1:4">
      <c r="A17" s="291"/>
      <c r="B17" s="291"/>
      <c r="C17" s="291"/>
    </row>
    <row r="18" spans="1:4" ht="14.45" customHeight="1">
      <c r="A18" s="318" t="s">
        <v>297</v>
      </c>
      <c r="B18" s="318"/>
      <c r="C18" s="317"/>
      <c r="D18" s="317"/>
    </row>
    <row r="19" spans="1:4">
      <c r="A19" t="s">
        <v>298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9A64-8CB4-45B3-997F-FF92A6011C8F}">
  <sheetPr>
    <tabColor theme="9" tint="0.39997558519241921"/>
  </sheetPr>
  <dimension ref="A1:AX56"/>
  <sheetViews>
    <sheetView zoomScale="75" zoomScaleNormal="75" workbookViewId="0">
      <selection activeCell="L24" sqref="L24"/>
    </sheetView>
  </sheetViews>
  <sheetFormatPr defaultRowHeight="15"/>
  <cols>
    <col min="1" max="1" width="40.5703125" style="168" customWidth="1"/>
    <col min="2" max="2" width="9.5703125" customWidth="1"/>
    <col min="3" max="27" width="11.5703125" customWidth="1"/>
  </cols>
  <sheetData>
    <row r="1" spans="1:50" s="166" customFormat="1" ht="18.75">
      <c r="A1" s="388" t="s">
        <v>338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row>
    <row r="2" spans="1:50">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row>
    <row r="3" spans="1:50">
      <c r="A3" s="393" t="s">
        <v>36</v>
      </c>
      <c r="B3" s="394"/>
      <c r="C3" s="394">
        <v>1</v>
      </c>
      <c r="D3" s="394">
        <f t="shared" ref="D3:S3" si="0">C3+1</f>
        <v>2</v>
      </c>
      <c r="E3" s="394">
        <f t="shared" si="0"/>
        <v>3</v>
      </c>
      <c r="F3" s="394">
        <f t="shared" si="0"/>
        <v>4</v>
      </c>
      <c r="G3" s="394">
        <f t="shared" si="0"/>
        <v>5</v>
      </c>
      <c r="H3" s="394">
        <f t="shared" si="0"/>
        <v>6</v>
      </c>
      <c r="I3" s="394">
        <f t="shared" si="0"/>
        <v>7</v>
      </c>
      <c r="J3" s="394">
        <f t="shared" si="0"/>
        <v>8</v>
      </c>
      <c r="K3" s="394">
        <f t="shared" si="0"/>
        <v>9</v>
      </c>
      <c r="L3" s="394">
        <f t="shared" si="0"/>
        <v>10</v>
      </c>
      <c r="M3" s="394">
        <f t="shared" si="0"/>
        <v>11</v>
      </c>
      <c r="N3" s="394">
        <f t="shared" si="0"/>
        <v>12</v>
      </c>
      <c r="O3" s="394">
        <f t="shared" si="0"/>
        <v>13</v>
      </c>
      <c r="P3" s="394">
        <f t="shared" si="0"/>
        <v>14</v>
      </c>
      <c r="Q3" s="394">
        <f t="shared" si="0"/>
        <v>15</v>
      </c>
      <c r="R3" s="394">
        <f t="shared" si="0"/>
        <v>16</v>
      </c>
      <c r="S3" s="394">
        <f t="shared" si="0"/>
        <v>17</v>
      </c>
      <c r="T3" s="394">
        <f t="shared" ref="T3:U4" si="1">S3+1</f>
        <v>18</v>
      </c>
      <c r="U3" s="394">
        <f t="shared" si="1"/>
        <v>19</v>
      </c>
      <c r="V3" s="394">
        <f t="shared" ref="V3:V4" si="2">U3+1</f>
        <v>20</v>
      </c>
      <c r="W3" s="394">
        <f t="shared" ref="W3:W4" si="3">V3+1</f>
        <v>21</v>
      </c>
      <c r="X3" s="394">
        <f t="shared" ref="X3:X4" si="4">W3+1</f>
        <v>22</v>
      </c>
      <c r="Y3" s="394">
        <f t="shared" ref="Y3:Y4" si="5">X3+1</f>
        <v>23</v>
      </c>
      <c r="Z3" s="394">
        <f t="shared" ref="Z3:Z4" si="6">Y3+1</f>
        <v>24</v>
      </c>
      <c r="AA3" s="394">
        <f t="shared" ref="AA3:AA4" si="7">Z3+1</f>
        <v>25</v>
      </c>
      <c r="AB3" s="289"/>
      <c r="AC3" s="289"/>
      <c r="AD3" s="289"/>
      <c r="AE3" s="289"/>
      <c r="AF3" s="289"/>
      <c r="AG3" s="289"/>
      <c r="AH3" s="289"/>
      <c r="AI3" s="289"/>
      <c r="AJ3" s="289"/>
      <c r="AK3" s="289"/>
      <c r="AL3" s="289"/>
      <c r="AM3" s="289"/>
      <c r="AN3" s="289"/>
      <c r="AO3" s="289"/>
      <c r="AP3" s="289"/>
      <c r="AQ3" s="289"/>
      <c r="AR3" s="289"/>
      <c r="AS3" s="289"/>
      <c r="AT3" s="289"/>
      <c r="AU3" s="289"/>
      <c r="AV3" s="289"/>
      <c r="AW3" s="289"/>
      <c r="AX3" s="289"/>
    </row>
    <row r="4" spans="1:50" s="166" customFormat="1">
      <c r="A4" s="395"/>
      <c r="B4" s="394">
        <v>2026</v>
      </c>
      <c r="C4" s="394">
        <f t="shared" ref="C4:T4" si="8">B4+1</f>
        <v>2027</v>
      </c>
      <c r="D4" s="394">
        <f t="shared" si="8"/>
        <v>2028</v>
      </c>
      <c r="E4" s="394">
        <f t="shared" si="8"/>
        <v>2029</v>
      </c>
      <c r="F4" s="394">
        <f t="shared" si="8"/>
        <v>2030</v>
      </c>
      <c r="G4" s="394">
        <f t="shared" si="8"/>
        <v>2031</v>
      </c>
      <c r="H4" s="394">
        <f t="shared" si="8"/>
        <v>2032</v>
      </c>
      <c r="I4" s="394">
        <f t="shared" si="8"/>
        <v>2033</v>
      </c>
      <c r="J4" s="394">
        <f t="shared" si="8"/>
        <v>2034</v>
      </c>
      <c r="K4" s="394">
        <f t="shared" si="8"/>
        <v>2035</v>
      </c>
      <c r="L4" s="394">
        <f t="shared" si="8"/>
        <v>2036</v>
      </c>
      <c r="M4" s="394">
        <f t="shared" si="8"/>
        <v>2037</v>
      </c>
      <c r="N4" s="394">
        <f t="shared" si="8"/>
        <v>2038</v>
      </c>
      <c r="O4" s="394">
        <f t="shared" si="8"/>
        <v>2039</v>
      </c>
      <c r="P4" s="394">
        <f t="shared" si="8"/>
        <v>2040</v>
      </c>
      <c r="Q4" s="394">
        <f t="shared" si="8"/>
        <v>2041</v>
      </c>
      <c r="R4" s="394">
        <f t="shared" si="8"/>
        <v>2042</v>
      </c>
      <c r="S4" s="394">
        <f t="shared" si="8"/>
        <v>2043</v>
      </c>
      <c r="T4" s="394">
        <f t="shared" si="8"/>
        <v>2044</v>
      </c>
      <c r="U4" s="394">
        <f t="shared" si="1"/>
        <v>2045</v>
      </c>
      <c r="V4" s="394">
        <f t="shared" si="2"/>
        <v>2046</v>
      </c>
      <c r="W4" s="394">
        <f t="shared" si="3"/>
        <v>2047</v>
      </c>
      <c r="X4" s="394">
        <f t="shared" si="4"/>
        <v>2048</v>
      </c>
      <c r="Y4" s="394">
        <f t="shared" si="5"/>
        <v>2049</v>
      </c>
      <c r="Z4" s="394">
        <f t="shared" si="6"/>
        <v>2050</v>
      </c>
      <c r="AA4" s="394">
        <f t="shared" si="7"/>
        <v>2051</v>
      </c>
      <c r="AB4" s="289"/>
      <c r="AC4" s="289"/>
      <c r="AD4" s="289"/>
      <c r="AE4" s="289"/>
      <c r="AF4" s="289"/>
      <c r="AG4" s="289"/>
      <c r="AH4" s="289"/>
      <c r="AI4" s="289"/>
      <c r="AJ4" s="289"/>
      <c r="AK4" s="289"/>
      <c r="AL4" s="289"/>
      <c r="AM4" s="289"/>
      <c r="AN4" s="289"/>
      <c r="AO4" s="289"/>
      <c r="AP4" s="289"/>
      <c r="AQ4" s="289"/>
      <c r="AR4" s="289"/>
      <c r="AS4" s="289"/>
      <c r="AT4" s="289"/>
      <c r="AU4" s="289"/>
      <c r="AV4" s="289"/>
      <c r="AW4" s="289"/>
      <c r="AX4" s="289"/>
    </row>
    <row r="5" spans="1:50" s="166" customFormat="1">
      <c r="A5" s="399" t="s">
        <v>340</v>
      </c>
      <c r="B5" s="394"/>
      <c r="C5" s="12">
        <f>'Travel Time Savings - Hours'!E7+'Travel Time Savings - Hours'!E8</f>
        <v>129899.30350847413</v>
      </c>
      <c r="D5" s="12">
        <f>'Travel Time Savings - Hours'!F7+'Travel Time Savings - Hours'!F8</f>
        <v>131278.60928513575</v>
      </c>
      <c r="E5" s="12">
        <f>'Travel Time Savings - Hours'!G7+'Travel Time Savings - Hours'!G8</f>
        <v>132672.56090187616</v>
      </c>
      <c r="F5" s="12">
        <f>'Travel Time Savings - Hours'!H7+'Travel Time Savings - Hours'!H8</f>
        <v>134081.31387216834</v>
      </c>
      <c r="G5" s="12">
        <f>'Travel Time Savings - Hours'!I7+'Travel Time Savings - Hours'!I8</f>
        <v>135505.02536076918</v>
      </c>
      <c r="H5" s="12">
        <f>'Travel Time Savings - Hours'!J7+'Travel Time Savings - Hours'!J8</f>
        <v>136943.85420125327</v>
      </c>
      <c r="I5" s="12">
        <f>'Travel Time Savings - Hours'!K7+'Travel Time Savings - Hours'!K8</f>
        <v>138397.96091373288</v>
      </c>
      <c r="J5" s="12">
        <f>'Travel Time Savings - Hours'!L7+'Travel Time Savings - Hours'!L8</f>
        <v>139867.50772276596</v>
      </c>
      <c r="K5" s="12">
        <f>'Travel Time Savings - Hours'!M7+'Travel Time Savings - Hours'!M8</f>
        <v>141352.65857545467</v>
      </c>
      <c r="L5" s="12">
        <f>'Travel Time Savings - Hours'!N7+'Travel Time Savings - Hours'!N8</f>
        <v>142853.57915973541</v>
      </c>
      <c r="M5" s="12">
        <f>'Travel Time Savings - Hours'!O7+'Travel Time Savings - Hours'!O8</f>
        <v>144370.43692286388</v>
      </c>
      <c r="N5" s="12">
        <f>'Travel Time Savings - Hours'!P7+'Travel Time Savings - Hours'!P8</f>
        <v>145903.40109009575</v>
      </c>
      <c r="O5" s="12">
        <f>'Travel Time Savings - Hours'!Q7+'Travel Time Savings - Hours'!Q8</f>
        <v>147452.64268356602</v>
      </c>
      <c r="P5" s="12">
        <f>'Travel Time Savings - Hours'!R7+'Travel Time Savings - Hours'!R8</f>
        <v>149018.33454136876</v>
      </c>
      <c r="Q5" s="12">
        <f>'Travel Time Savings - Hours'!S7+'Travel Time Savings - Hours'!S8</f>
        <v>150600.65133683948</v>
      </c>
      <c r="R5" s="12">
        <f>'Travel Time Savings - Hours'!T7+'Travel Time Savings - Hours'!T8</f>
        <v>152199.76959804213</v>
      </c>
      <c r="S5" s="12">
        <f>'Travel Time Savings - Hours'!U7+'Travel Time Savings - Hours'!U8</f>
        <v>153815.86772746319</v>
      </c>
      <c r="T5" s="12">
        <f>'Travel Time Savings - Hours'!V7+'Travel Time Savings - Hours'!V8</f>
        <v>155449.12602191488</v>
      </c>
      <c r="U5" s="12">
        <f>'Travel Time Savings - Hours'!W7+'Travel Time Savings - Hours'!W8</f>
        <v>157099.72669264933</v>
      </c>
      <c r="V5" s="12">
        <f>'Travel Time Savings - Hours'!X7+'Travel Time Savings - Hours'!X8</f>
        <v>158767.85388568696</v>
      </c>
      <c r="W5" s="12">
        <f>'Travel Time Savings - Hours'!Y7+'Travel Time Savings - Hours'!Y8</f>
        <v>160453.69370236012</v>
      </c>
      <c r="X5" s="12">
        <f>'Travel Time Savings - Hours'!Z7+'Travel Time Savings - Hours'!Z8</f>
        <v>162157.43422007523</v>
      </c>
      <c r="Y5" s="12">
        <f>'Travel Time Savings - Hours'!AA7+'Travel Time Savings - Hours'!AA8</f>
        <v>163879.26551329525</v>
      </c>
      <c r="Z5" s="12">
        <f>'Travel Time Savings - Hours'!AB7+'Travel Time Savings - Hours'!AB8</f>
        <v>165619.37967474497</v>
      </c>
      <c r="AA5" s="12">
        <f>'Travel Time Savings - Hours'!AC7+'Travel Time Savings - Hours'!AC8</f>
        <v>167377.97083684144</v>
      </c>
      <c r="AB5" s="289"/>
      <c r="AC5" s="289"/>
      <c r="AD5" s="289"/>
      <c r="AE5" s="289"/>
      <c r="AF5" s="289"/>
      <c r="AG5" s="289"/>
      <c r="AH5" s="289"/>
      <c r="AI5" s="289"/>
      <c r="AJ5" s="289"/>
      <c r="AK5" s="289"/>
      <c r="AL5" s="289"/>
      <c r="AM5" s="289"/>
      <c r="AN5" s="289"/>
      <c r="AO5" s="289"/>
      <c r="AP5" s="289"/>
      <c r="AQ5" s="289"/>
      <c r="AR5" s="289"/>
      <c r="AS5" s="289"/>
      <c r="AT5" s="289"/>
      <c r="AU5" s="289"/>
      <c r="AV5" s="289"/>
      <c r="AW5" s="289"/>
      <c r="AX5" s="289"/>
    </row>
    <row r="6" spans="1:50" s="166" customFormat="1">
      <c r="A6" s="244" t="s">
        <v>300</v>
      </c>
      <c r="B6" s="375"/>
      <c r="C6" s="320">
        <f>'Fuel Savings $ Benefits '!D10</f>
        <v>2.5600000000000001E-2</v>
      </c>
      <c r="D6" s="320">
        <f>($AA6-$C6)/25+(C6)</f>
        <v>4.0576000000000001E-2</v>
      </c>
      <c r="E6" s="320">
        <f t="shared" ref="E6:Z6" si="9">($AA6-$C6)/25+(D6)</f>
        <v>5.5552000000000004E-2</v>
      </c>
      <c r="F6" s="320">
        <f t="shared" si="9"/>
        <v>7.0528000000000007E-2</v>
      </c>
      <c r="G6" s="320">
        <f t="shared" si="9"/>
        <v>8.5504000000000011E-2</v>
      </c>
      <c r="H6" s="320">
        <f t="shared" si="9"/>
        <v>0.10048000000000001</v>
      </c>
      <c r="I6" s="320">
        <f t="shared" si="9"/>
        <v>0.11545600000000002</v>
      </c>
      <c r="J6" s="320">
        <f t="shared" si="9"/>
        <v>0.13043200000000002</v>
      </c>
      <c r="K6" s="320">
        <f t="shared" si="9"/>
        <v>0.14540800000000001</v>
      </c>
      <c r="L6" s="320">
        <f t="shared" si="9"/>
        <v>0.160384</v>
      </c>
      <c r="M6" s="320">
        <f t="shared" si="9"/>
        <v>0.17535999999999999</v>
      </c>
      <c r="N6" s="320">
        <f t="shared" si="9"/>
        <v>0.19033599999999998</v>
      </c>
      <c r="O6" s="320">
        <f t="shared" si="9"/>
        <v>0.20531199999999997</v>
      </c>
      <c r="P6" s="320">
        <f t="shared" si="9"/>
        <v>0.22028799999999996</v>
      </c>
      <c r="Q6" s="320">
        <f t="shared" si="9"/>
        <v>0.23526399999999995</v>
      </c>
      <c r="R6" s="320">
        <f t="shared" si="9"/>
        <v>0.25023999999999996</v>
      </c>
      <c r="S6" s="320">
        <f t="shared" si="9"/>
        <v>0.26521599999999995</v>
      </c>
      <c r="T6" s="320">
        <f t="shared" si="9"/>
        <v>0.28019199999999994</v>
      </c>
      <c r="U6" s="320">
        <f t="shared" si="9"/>
        <v>0.29516799999999993</v>
      </c>
      <c r="V6" s="320">
        <f t="shared" si="9"/>
        <v>0.31014399999999992</v>
      </c>
      <c r="W6" s="320">
        <f t="shared" si="9"/>
        <v>0.32511999999999991</v>
      </c>
      <c r="X6" s="320">
        <f t="shared" si="9"/>
        <v>0.3400959999999999</v>
      </c>
      <c r="Y6" s="320">
        <f t="shared" si="9"/>
        <v>0.35507199999999989</v>
      </c>
      <c r="Z6" s="320">
        <f t="shared" si="9"/>
        <v>0.37004799999999988</v>
      </c>
      <c r="AA6" s="320">
        <v>0.4</v>
      </c>
      <c r="AB6" s="320"/>
      <c r="AC6" s="289"/>
      <c r="AD6" s="289"/>
      <c r="AE6" s="289"/>
      <c r="AF6" s="289"/>
      <c r="AG6" s="289"/>
      <c r="AH6" s="289"/>
      <c r="AI6" s="289"/>
      <c r="AJ6" s="289"/>
      <c r="AK6" s="289"/>
      <c r="AL6" s="289"/>
      <c r="AM6" s="289"/>
      <c r="AN6" s="289"/>
      <c r="AO6" s="289"/>
      <c r="AP6" s="289"/>
      <c r="AQ6" s="289"/>
      <c r="AR6" s="289"/>
      <c r="AS6" s="289"/>
      <c r="AT6" s="289"/>
      <c r="AU6" s="289"/>
      <c r="AV6" s="289"/>
      <c r="AW6" s="289"/>
      <c r="AX6" s="289"/>
    </row>
    <row r="7" spans="1:50" s="166" customFormat="1">
      <c r="A7" s="244" t="s">
        <v>339</v>
      </c>
      <c r="B7" s="375"/>
      <c r="C7" s="319">
        <f>C5*(1-C6)</f>
        <v>126573.8813386572</v>
      </c>
      <c r="D7" s="319">
        <f t="shared" ref="D7:AA7" si="10">D5*(1-D6)</f>
        <v>125951.84843478209</v>
      </c>
      <c r="E7" s="319">
        <f t="shared" si="10"/>
        <v>125302.33479865512</v>
      </c>
      <c r="F7" s="319">
        <f t="shared" si="10"/>
        <v>124624.82696739204</v>
      </c>
      <c r="G7" s="319">
        <f t="shared" si="10"/>
        <v>123918.80367232197</v>
      </c>
      <c r="H7" s="319">
        <f t="shared" si="10"/>
        <v>123183.73573111134</v>
      </c>
      <c r="I7" s="319">
        <f t="shared" si="10"/>
        <v>122419.08593847694</v>
      </c>
      <c r="J7" s="319">
        <f t="shared" si="10"/>
        <v>121624.30895547016</v>
      </c>
      <c r="K7" s="319">
        <f t="shared" si="10"/>
        <v>120798.85119731496</v>
      </c>
      <c r="L7" s="319">
        <f t="shared" si="10"/>
        <v>119942.15071978042</v>
      </c>
      <c r="M7" s="319">
        <f t="shared" si="10"/>
        <v>119053.63710407048</v>
      </c>
      <c r="N7" s="319">
        <f t="shared" si="10"/>
        <v>118132.73134021129</v>
      </c>
      <c r="O7" s="319">
        <f t="shared" si="10"/>
        <v>117178.84570891772</v>
      </c>
      <c r="P7" s="319">
        <f t="shared" si="10"/>
        <v>116191.38366191974</v>
      </c>
      <c r="Q7" s="319">
        <f t="shared" si="10"/>
        <v>115169.73970072929</v>
      </c>
      <c r="R7" s="319">
        <f t="shared" si="10"/>
        <v>114113.29925382807</v>
      </c>
      <c r="S7" s="319">
        <f t="shared" si="10"/>
        <v>113021.43855225632</v>
      </c>
      <c r="T7" s="319">
        <f t="shared" si="10"/>
        <v>111893.52450358251</v>
      </c>
      <c r="U7" s="319">
        <f t="shared" si="10"/>
        <v>110728.91456423343</v>
      </c>
      <c r="V7" s="319">
        <f t="shared" si="10"/>
        <v>109526.95661016446</v>
      </c>
      <c r="W7" s="319">
        <f t="shared" si="10"/>
        <v>108286.98880584883</v>
      </c>
      <c r="X7" s="319">
        <f t="shared" si="10"/>
        <v>107008.33947156453</v>
      </c>
      <c r="Y7" s="319">
        <f t="shared" si="10"/>
        <v>105690.32694895851</v>
      </c>
      <c r="Z7" s="319">
        <f t="shared" si="10"/>
        <v>104332.25946486495</v>
      </c>
      <c r="AA7" s="319">
        <f t="shared" si="10"/>
        <v>100426.78250210486</v>
      </c>
      <c r="AB7" s="320"/>
      <c r="AC7" s="289"/>
      <c r="AD7" s="289"/>
      <c r="AE7" s="289"/>
      <c r="AF7" s="289"/>
      <c r="AG7" s="289"/>
      <c r="AH7" s="289"/>
      <c r="AI7" s="289"/>
      <c r="AJ7" s="289"/>
      <c r="AK7" s="289"/>
      <c r="AL7" s="289"/>
      <c r="AM7" s="289"/>
      <c r="AN7" s="289"/>
      <c r="AO7" s="289"/>
      <c r="AP7" s="289"/>
      <c r="AQ7" s="289"/>
      <c r="AR7" s="289"/>
      <c r="AS7" s="289"/>
      <c r="AT7" s="289"/>
      <c r="AU7" s="289"/>
      <c r="AV7" s="289"/>
      <c r="AW7" s="289"/>
      <c r="AX7" s="289"/>
    </row>
    <row r="8" spans="1:50" s="166" customFormat="1">
      <c r="A8" s="244"/>
      <c r="B8" s="375"/>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289"/>
      <c r="AD8" s="289"/>
      <c r="AE8" s="289"/>
      <c r="AF8" s="289"/>
      <c r="AG8" s="289"/>
      <c r="AH8" s="289"/>
      <c r="AI8" s="289"/>
      <c r="AJ8" s="289"/>
      <c r="AK8" s="289"/>
      <c r="AL8" s="289"/>
      <c r="AM8" s="289"/>
      <c r="AN8" s="289"/>
      <c r="AO8" s="289"/>
      <c r="AP8" s="289"/>
      <c r="AQ8" s="289"/>
      <c r="AR8" s="289"/>
      <c r="AS8" s="289"/>
      <c r="AT8" s="289"/>
      <c r="AU8" s="289"/>
      <c r="AV8" s="289"/>
      <c r="AW8" s="289"/>
      <c r="AX8" s="289"/>
    </row>
    <row r="9" spans="1:50" s="167" customFormat="1">
      <c r="A9" s="389" t="s">
        <v>341</v>
      </c>
      <c r="B9" s="390"/>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289"/>
      <c r="AC9" s="289"/>
      <c r="AD9" s="289"/>
      <c r="AE9" s="289"/>
      <c r="AF9" s="289"/>
      <c r="AG9" s="289"/>
      <c r="AH9" s="289"/>
      <c r="AI9" s="289"/>
      <c r="AJ9" s="289"/>
      <c r="AK9" s="289"/>
      <c r="AL9" s="289"/>
      <c r="AM9" s="289"/>
      <c r="AN9" s="289"/>
      <c r="AO9" s="289"/>
      <c r="AP9" s="289"/>
      <c r="AQ9" s="289"/>
      <c r="AR9" s="289"/>
      <c r="AS9" s="289"/>
      <c r="AT9" s="289"/>
      <c r="AU9" s="289"/>
      <c r="AV9" s="289"/>
      <c r="AW9" s="289"/>
      <c r="AX9" s="289"/>
    </row>
    <row r="10" spans="1:50">
      <c r="A10" s="391" t="s">
        <v>188</v>
      </c>
      <c r="B10" s="392"/>
      <c r="C10" s="398">
        <f>C7*'Look Up Data'!$E91*1.1</f>
        <v>0.21504302779496529</v>
      </c>
      <c r="D10" s="398">
        <f>D7*'Look Up Data'!$E91*1.1</f>
        <v>0.21398622336088535</v>
      </c>
      <c r="E10" s="398">
        <f>E7*'Look Up Data'!$E91*1.1</f>
        <v>0.21288273046464434</v>
      </c>
      <c r="F10" s="398">
        <f>F7*'Look Up Data'!$E91*1.1</f>
        <v>0.2117316767571279</v>
      </c>
      <c r="G10" s="398">
        <f>G7*'Look Up Data'!$E91*1.1</f>
        <v>0.21053217662755985</v>
      </c>
      <c r="H10" s="398">
        <f>H7*'Look Up Data'!$E91*1.1</f>
        <v>0.20928333102022628</v>
      </c>
      <c r="I10" s="398">
        <f>I7*'Look Up Data'!$E91*1.1</f>
        <v>0.2079842272488017</v>
      </c>
      <c r="J10" s="398">
        <f>J7*'Look Up Data'!$E91*1.1</f>
        <v>0.20663393880824862</v>
      </c>
      <c r="K10" s="398">
        <f>K7*'Look Up Data'!$E91*1.1</f>
        <v>0.20523152518425933</v>
      </c>
      <c r="L10" s="398">
        <f>L7*'Look Up Data'!$E91*1.1</f>
        <v>0.20377603166020827</v>
      </c>
      <c r="M10" s="398">
        <f>M7*'Look Up Data'!$E91*1.1</f>
        <v>0.20226648912158535</v>
      </c>
      <c r="N10" s="398">
        <f>N7*'Look Up Data'!$E91*1.1</f>
        <v>0.20070191385787622</v>
      </c>
      <c r="O10" s="398">
        <f>O7*'Look Up Data'!$E91*1.1</f>
        <v>0.19908130736185947</v>
      </c>
      <c r="P10" s="398">
        <f>P7*'Look Up Data'!$E91*1.1</f>
        <v>0.19740365612628655</v>
      </c>
      <c r="Q10" s="398">
        <f>Q7*'Look Up Data'!$E91*1.1</f>
        <v>0.19566793143791247</v>
      </c>
      <c r="R10" s="398">
        <f>R7*'Look Up Data'!$E91*1.1</f>
        <v>0.19387308916884377</v>
      </c>
      <c r="S10" s="398">
        <f>S7*'Look Up Data'!$E91*1.1</f>
        <v>0.19201806956516973</v>
      </c>
      <c r="T10" s="398">
        <f>T7*'Look Up Data'!$E91*1.1</f>
        <v>0.19010179703284266</v>
      </c>
      <c r="U10" s="398">
        <f>U7*'Look Up Data'!$E91*1.1</f>
        <v>0.18812317992077304</v>
      </c>
      <c r="V10" s="398">
        <f>V7*'Look Up Data'!$E91*1.1</f>
        <v>0.18608111030110425</v>
      </c>
      <c r="W10" s="398">
        <f>W7*'Look Up Data'!$E91*1.1</f>
        <v>0.18397446374663165</v>
      </c>
      <c r="X10" s="398">
        <f>X7*'Look Up Data'!$E91*1.1</f>
        <v>0.18180209910532916</v>
      </c>
      <c r="Y10" s="398">
        <f>Y7*'Look Up Data'!$E91*1.1</f>
        <v>0.17956285827194948</v>
      </c>
      <c r="Z10" s="398">
        <f>Z7*'Look Up Data'!$E91*1.1</f>
        <v>0.17725556595665742</v>
      </c>
      <c r="AA10" s="398">
        <f>AA7*'Look Up Data'!$E91*1.1</f>
        <v>0.17062034562389108</v>
      </c>
      <c r="AB10" s="250"/>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row>
    <row r="11" spans="1:50">
      <c r="A11" s="391" t="s">
        <v>192</v>
      </c>
      <c r="B11" s="392"/>
      <c r="C11" s="398">
        <f>C7*'Look Up Data'!$E93*1.1</f>
        <v>7.9579354266038401E-3</v>
      </c>
      <c r="D11" s="398">
        <f>D7*'Look Up Data'!$E93*1.1</f>
        <v>7.9188270605656946E-3</v>
      </c>
      <c r="E11" s="398">
        <f>E7*'Look Up Data'!$E93*1.1</f>
        <v>7.8779909297594687E-3</v>
      </c>
      <c r="F11" s="398">
        <f>F7*'Look Up Data'!$E93*1.1</f>
        <v>7.8353947518182664E-3</v>
      </c>
      <c r="G11" s="398">
        <f>G7*'Look Up Data'!$E93*1.1</f>
        <v>7.791005753610864E-3</v>
      </c>
      <c r="H11" s="398">
        <f>H7*'Look Up Data'!$E93*1.1</f>
        <v>7.744790664459337E-3</v>
      </c>
      <c r="I11" s="398">
        <f>I7*'Look Up Data'!$E93*1.1</f>
        <v>7.6967157092679922E-3</v>
      </c>
      <c r="J11" s="398">
        <f>J7*'Look Up Data'!$E93*1.1</f>
        <v>7.6467466015624564E-3</v>
      </c>
      <c r="K11" s="398">
        <f>K7*'Look Up Data'!$E93*1.1</f>
        <v>7.5948485364378477E-3</v>
      </c>
      <c r="L11" s="398">
        <f>L7*'Look Up Data'!$E93*1.1</f>
        <v>7.5409861834147959E-3</v>
      </c>
      <c r="M11" s="398">
        <f>M7*'Look Up Data'!$E93*1.1</f>
        <v>7.4851236792022584E-3</v>
      </c>
      <c r="N11" s="398">
        <f>N7*'Look Up Data'!$E93*1.1</f>
        <v>7.4272246203658564E-3</v>
      </c>
      <c r="O11" s="398">
        <f>O7*'Look Up Data'!$E93*1.1</f>
        <v>7.3672520559006065E-3</v>
      </c>
      <c r="P11" s="398">
        <f>P7*'Look Up Data'!$E93*1.1</f>
        <v>7.3051684797068184E-3</v>
      </c>
      <c r="Q11" s="398">
        <f>Q7*'Look Up Data'!$E93*1.1</f>
        <v>7.2409358229679416E-3</v>
      </c>
      <c r="R11" s="398">
        <f>R7*'Look Up Data'!$E93*1.1</f>
        <v>7.17451544642913E-3</v>
      </c>
      <c r="S11" s="398">
        <f>S7*'Look Up Data'!$E93*1.1</f>
        <v>7.1058681325752845E-3</v>
      </c>
      <c r="T11" s="398">
        <f>T7*'Look Up Data'!$E93*1.1</f>
        <v>7.0349540777072811E-3</v>
      </c>
      <c r="U11" s="398">
        <f>U7*'Look Up Data'!$E93*1.1</f>
        <v>6.9617328839151433E-3</v>
      </c>
      <c r="V11" s="398">
        <f>V7*'Look Up Data'!$E93*1.1</f>
        <v>6.8861635509468219E-3</v>
      </c>
      <c r="W11" s="398">
        <f>W7*'Look Up Data'!$E93*1.1</f>
        <v>6.8082044679713214E-3</v>
      </c>
      <c r="X11" s="398">
        <f>X7*'Look Up Data'!$E93*1.1</f>
        <v>6.7278134052347728E-3</v>
      </c>
      <c r="Y11" s="398">
        <f>Y7*'Look Up Data'!$E93*1.1</f>
        <v>6.6449475056082072E-3</v>
      </c>
      <c r="Z11" s="398">
        <f>Z7*'Look Up Data'!$E93*1.1</f>
        <v>6.5595632760255592E-3</v>
      </c>
      <c r="AA11" s="398">
        <f>AA7*'Look Up Data'!$E93*1.1</f>
        <v>6.3140186727390539E-3</v>
      </c>
      <c r="AB11" s="250"/>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row>
    <row r="12" spans="1:50">
      <c r="A12" s="391" t="s">
        <v>193</v>
      </c>
      <c r="B12" s="392"/>
      <c r="C12" s="396">
        <f>C7*'Look Up Data'!$E89*1.1</f>
        <v>1229.4754632995141</v>
      </c>
      <c r="D12" s="396">
        <f>D7*'Look Up Data'!$E89*1.1</f>
        <v>1223.43334635887</v>
      </c>
      <c r="E12" s="396">
        <f>E7*'Look Up Data'!$E89*1.1</f>
        <v>1217.124295310969</v>
      </c>
      <c r="F12" s="396">
        <f>F7*'Look Up Data'!$E89*1.1</f>
        <v>1210.5433226338137</v>
      </c>
      <c r="G12" s="396">
        <f>G7*'Look Up Data'!$E89*1.1</f>
        <v>1203.6853649838936</v>
      </c>
      <c r="H12" s="396">
        <f>H7*'Look Up Data'!$E89*1.1</f>
        <v>1196.5452821483318</v>
      </c>
      <c r="I12" s="396">
        <f>I7*'Look Up Data'!$E89*1.1</f>
        <v>1189.1178559833263</v>
      </c>
      <c r="J12" s="396">
        <f>J7*'Look Up Data'!$E89*1.1</f>
        <v>1181.3977893387112</v>
      </c>
      <c r="K12" s="396">
        <f>K7*'Look Up Data'!$E89*1.1</f>
        <v>1173.3797049684713</v>
      </c>
      <c r="L12" s="396">
        <f>L7*'Look Up Data'!$E89*1.1</f>
        <v>1165.0581444270233</v>
      </c>
      <c r="M12" s="396">
        <f>M7*'Look Up Data'!$E89*1.1</f>
        <v>1156.4275669510898</v>
      </c>
      <c r="N12" s="396">
        <f>N7*'Look Up Data'!$E89*1.1</f>
        <v>1147.4823483269836</v>
      </c>
      <c r="O12" s="396">
        <f>O7*'Look Up Data'!$E89*1.1</f>
        <v>1138.216779743118</v>
      </c>
      <c r="P12" s="396">
        <f>P7*'Look Up Data'!$E89*1.1</f>
        <v>1128.6250666275562</v>
      </c>
      <c r="Q12" s="396">
        <f>Q7*'Look Up Data'!$E89*1.1</f>
        <v>1118.701327470415</v>
      </c>
      <c r="R12" s="396">
        <f>R7*'Look Up Data'!$E89*1.1</f>
        <v>1108.4395926309262</v>
      </c>
      <c r="S12" s="396">
        <f>S7*'Look Up Data'!$E89*1.1</f>
        <v>1097.8338031289695</v>
      </c>
      <c r="T12" s="396">
        <f>T7*'Look Up Data'!$E89*1.1</f>
        <v>1086.8778094208762</v>
      </c>
      <c r="U12" s="396">
        <f>U7*'Look Up Data'!$E89*1.1</f>
        <v>1075.5653701593085</v>
      </c>
      <c r="V12" s="396">
        <f>V7*'Look Up Data'!$E89*1.1</f>
        <v>1063.8901509370144</v>
      </c>
      <c r="W12" s="396">
        <f>W7*'Look Up Data'!$E89*1.1</f>
        <v>1051.8457230142542</v>
      </c>
      <c r="X12" s="396">
        <f>X7*'Look Up Data'!$E89*1.1</f>
        <v>1039.4255620296935</v>
      </c>
      <c r="Y12" s="396">
        <f>Y7*'Look Up Data'!$E89*1.1</f>
        <v>1026.6230466945594</v>
      </c>
      <c r="Z12" s="396">
        <f>Z7*'Look Up Data'!$E89*1.1</f>
        <v>1013.4314574698402</v>
      </c>
      <c r="AA12" s="396">
        <f>AA7*'Look Up Data'!$E89*1.1</f>
        <v>975.49560492734133</v>
      </c>
      <c r="AB12" s="250"/>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row>
    <row r="13" spans="1:50">
      <c r="A13" s="391" t="s">
        <v>194</v>
      </c>
      <c r="B13" s="392"/>
      <c r="C13" s="397">
        <f>C7*'Look Up Data'!$E92*1.1</f>
        <v>7.703369310421768E-3</v>
      </c>
      <c r="D13" s="397">
        <f>D7*'Look Up Data'!$E92*1.1</f>
        <v>7.6655119805279061E-3</v>
      </c>
      <c r="E13" s="397">
        <f>E7*'Look Up Data'!$E92*1.1</f>
        <v>7.6259821552723001E-3</v>
      </c>
      <c r="F13" s="397">
        <f>F7*'Look Up Data'!$E92*1.1</f>
        <v>7.5847485849675515E-3</v>
      </c>
      <c r="G13" s="397">
        <f>G7*'Look Up Data'!$E92*1.1</f>
        <v>7.541779544860976E-3</v>
      </c>
      <c r="H13" s="397">
        <f>H7*'Look Up Data'!$E92*1.1</f>
        <v>7.4970428285691965E-3</v>
      </c>
      <c r="I13" s="397">
        <f>I7*'Look Up Data'!$E92*1.1</f>
        <v>7.4505057414268657E-3</v>
      </c>
      <c r="J13" s="397">
        <f>J7*'Look Up Data'!$E92*1.1</f>
        <v>7.4021350937484316E-3</v>
      </c>
      <c r="K13" s="397">
        <f>K7*'Look Up Data'!$E92*1.1</f>
        <v>7.3518971940018888E-3</v>
      </c>
      <c r="L13" s="397">
        <f>L7*'Look Up Data'!$E92*1.1</f>
        <v>7.2997578418933298E-3</v>
      </c>
      <c r="M13" s="397">
        <f>M7*'Look Up Data'!$E92*1.1</f>
        <v>7.2456823213612638E-3</v>
      </c>
      <c r="N13" s="397">
        <f>N7*'Look Up Data'!$E92*1.1</f>
        <v>7.1896353934794944E-3</v>
      </c>
      <c r="O13" s="397">
        <f>O7*'Look Up Data'!$E92*1.1</f>
        <v>7.1315812892674352E-3</v>
      </c>
      <c r="P13" s="397">
        <f>P7*'Look Up Data'!$E92*1.1</f>
        <v>7.0714837024066987E-3</v>
      </c>
      <c r="Q13" s="397">
        <f>Q7*'Look Up Data'!$E92*1.1</f>
        <v>7.009305781862765E-3</v>
      </c>
      <c r="R13" s="397">
        <f>R7*'Look Up Data'!$E92*1.1</f>
        <v>6.9450101244105536E-3</v>
      </c>
      <c r="S13" s="397">
        <f>S7*'Look Up Data'!$E92*1.1</f>
        <v>6.8785587670626728E-3</v>
      </c>
      <c r="T13" s="397">
        <f>T7*'Look Up Data'!$E92*1.1</f>
        <v>6.8099131793991326E-3</v>
      </c>
      <c r="U13" s="397">
        <f>U7*'Look Up Data'!$E92*1.1</f>
        <v>6.739034255797271E-3</v>
      </c>
      <c r="V13" s="397">
        <f>V7*'Look Up Data'!$E92*1.1</f>
        <v>6.6658823075606607E-3</v>
      </c>
      <c r="W13" s="397">
        <f>W7*'Look Up Data'!$E92*1.1</f>
        <v>6.5904170549457132E-3</v>
      </c>
      <c r="X13" s="397">
        <f>X7*'Look Up Data'!$E92*1.1</f>
        <v>6.51259761908467E-3</v>
      </c>
      <c r="Y13" s="397">
        <f>Y7*'Look Up Data'!$E92*1.1</f>
        <v>6.4323825138037525E-3</v>
      </c>
      <c r="Z13" s="397">
        <f>Z7*'Look Up Data'!$E92*1.1</f>
        <v>6.3497296373350521E-3</v>
      </c>
      <c r="AA13" s="397">
        <f>AA7*'Look Up Data'!$E92*1.1</f>
        <v>6.1120397517180512E-3</v>
      </c>
      <c r="AB13" s="250"/>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row>
    <row r="14" spans="1:50">
      <c r="A14" s="391"/>
      <c r="B14" s="392"/>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250"/>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row>
    <row r="15" spans="1:50" s="167" customFormat="1">
      <c r="A15" s="389" t="s">
        <v>249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row>
    <row r="16" spans="1:50">
      <c r="A16" s="391" t="s">
        <v>188</v>
      </c>
      <c r="B16" s="390"/>
      <c r="C16" s="390">
        <f>C10*'Look Up Data'!K53</f>
        <v>3677.2357752939065</v>
      </c>
      <c r="D16" s="390">
        <f>D10*'Look Up Data'!L53</f>
        <v>3723.3602864794052</v>
      </c>
      <c r="E16" s="390">
        <f>E10*'Look Up Data'!M53</f>
        <v>3768.0243292242048</v>
      </c>
      <c r="F16" s="390">
        <f>F10*'Look Up Data'!N53</f>
        <v>3832.3433493040147</v>
      </c>
      <c r="G16" s="390">
        <f>G10*'Look Up Data'!O53</f>
        <v>3810.6323969588334</v>
      </c>
      <c r="H16" s="390">
        <f>H10*'Look Up Data'!P53</f>
        <v>3788.0282914660957</v>
      </c>
      <c r="I16" s="390">
        <f>I10*'Look Up Data'!Q53</f>
        <v>3764.5145132033108</v>
      </c>
      <c r="J16" s="390">
        <f>J10*'Look Up Data'!R53</f>
        <v>3740.0742924292999</v>
      </c>
      <c r="K16" s="390">
        <f>K10*'Look Up Data'!S53</f>
        <v>3714.6906058350937</v>
      </c>
      <c r="L16" s="390">
        <f>L10*'Look Up Data'!T53</f>
        <v>3688.3461730497697</v>
      </c>
      <c r="M16" s="390">
        <f>M10*'Look Up Data'!U53</f>
        <v>3661.023453100695</v>
      </c>
      <c r="N16" s="390">
        <f>N10*'Look Up Data'!V53</f>
        <v>3632.7046408275596</v>
      </c>
      <c r="O16" s="390">
        <f>O10*'Look Up Data'!W53</f>
        <v>3603.3716632496566</v>
      </c>
      <c r="P16" s="390">
        <f>P10*'Look Up Data'!X53</f>
        <v>3573.0061758857864</v>
      </c>
      <c r="Q16" s="390">
        <f>Q10*'Look Up Data'!Y53</f>
        <v>3541.5895590262157</v>
      </c>
      <c r="R16" s="390">
        <f>R10*'Look Up Data'!Z53</f>
        <v>3509.1029139560724</v>
      </c>
      <c r="S16" s="390">
        <f>S10*'Look Up Data'!AA53</f>
        <v>3475.5270591295721</v>
      </c>
      <c r="T16" s="390">
        <f>T10*'Look Up Data'!AB53</f>
        <v>3440.842526294452</v>
      </c>
      <c r="U16" s="390">
        <f>U10*'Look Up Data'!AC53</f>
        <v>3405.0295565659922</v>
      </c>
      <c r="V16" s="390">
        <f>V10*'Look Up Data'!AD53</f>
        <v>3368.068096449987</v>
      </c>
      <c r="W16" s="390">
        <f>W10*'Look Up Data'!AE53</f>
        <v>3329.9377938140328</v>
      </c>
      <c r="X16" s="390">
        <f>X10*'Look Up Data'!AF53</f>
        <v>3290.6179938064579</v>
      </c>
      <c r="Y16" s="390">
        <f>Y10*'Look Up Data'!AG53</f>
        <v>3250.0877347222859</v>
      </c>
      <c r="Z16" s="390">
        <f>Z10*'Look Up Data'!AH53</f>
        <v>3208.3257438154992</v>
      </c>
      <c r="AA16" s="390">
        <f>AA10*'Look Up Data'!AI53</f>
        <v>3088.2282557924286</v>
      </c>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row>
    <row r="17" spans="1:50">
      <c r="A17" s="391" t="s">
        <v>192</v>
      </c>
      <c r="B17" s="390"/>
      <c r="C17" s="390">
        <f>C11*'Look Up Data'!K54</f>
        <v>370.04399733707857</v>
      </c>
      <c r="D17" s="390">
        <f>D11*'Look Up Data'!L54</f>
        <v>374.56051996475736</v>
      </c>
      <c r="E17" s="390">
        <f>E11*'Look Up Data'!M54</f>
        <v>379.71916281440639</v>
      </c>
      <c r="F17" s="390">
        <f>F11*'Look Up Data'!N54</f>
        <v>384.71788231427689</v>
      </c>
      <c r="G17" s="390">
        <f>G11*'Look Up Data'!O54</f>
        <v>382.53838250229342</v>
      </c>
      <c r="H17" s="390">
        <f>H11*'Look Up Data'!P54</f>
        <v>380.26922162495345</v>
      </c>
      <c r="I17" s="390">
        <f>I11*'Look Up Data'!Q54</f>
        <v>377.90874132505843</v>
      </c>
      <c r="J17" s="390">
        <f>J11*'Look Up Data'!R54</f>
        <v>375.45525813671662</v>
      </c>
      <c r="K17" s="390">
        <f>K11*'Look Up Data'!S54</f>
        <v>372.90706313909834</v>
      </c>
      <c r="L17" s="390">
        <f>L11*'Look Up Data'!T54</f>
        <v>370.26242160566647</v>
      </c>
      <c r="M17" s="390">
        <f>M11*'Look Up Data'!U54</f>
        <v>367.51957264883089</v>
      </c>
      <c r="N17" s="390">
        <f>N11*'Look Up Data'!V54</f>
        <v>364.67672885996353</v>
      </c>
      <c r="O17" s="390">
        <f>O11*'Look Up Data'!W54</f>
        <v>361.73207594471978</v>
      </c>
      <c r="P17" s="390">
        <f>P11*'Look Up Data'!X54</f>
        <v>358.68377235360481</v>
      </c>
      <c r="Q17" s="390">
        <f>Q11*'Look Up Data'!Y54</f>
        <v>355.52994890772595</v>
      </c>
      <c r="R17" s="390">
        <f>R11*'Look Up Data'!Z54</f>
        <v>352.2687084196703</v>
      </c>
      <c r="S17" s="390">
        <f>S11*'Look Up Data'!AA54</f>
        <v>348.89812530944647</v>
      </c>
      <c r="T17" s="390">
        <f>T11*'Look Up Data'!AB54</f>
        <v>345.41624521542752</v>
      </c>
      <c r="U17" s="390">
        <f>U11*'Look Up Data'!AC54</f>
        <v>341.82108460023352</v>
      </c>
      <c r="V17" s="390">
        <f>V11*'Look Up Data'!AD54</f>
        <v>338.11063035148896</v>
      </c>
      <c r="W17" s="390">
        <f>W11*'Look Up Data'!AE54</f>
        <v>334.28283937739189</v>
      </c>
      <c r="X17" s="390">
        <f>X11*'Look Up Data'!AF54</f>
        <v>330.33563819702732</v>
      </c>
      <c r="Y17" s="390">
        <f>Y11*'Look Up Data'!AG54</f>
        <v>326.26692252536299</v>
      </c>
      <c r="Z17" s="390">
        <f>Z11*'Look Up Data'!AH54</f>
        <v>322.07455685285498</v>
      </c>
      <c r="AA17" s="390">
        <f>AA11*'Look Up Data'!AI54</f>
        <v>310.01831683148754</v>
      </c>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row>
    <row r="18" spans="1:50">
      <c r="A18" s="391" t="s">
        <v>193</v>
      </c>
      <c r="B18" s="390"/>
      <c r="C18" s="390">
        <f>C12*'Look Up Data'!K55</f>
        <v>71309.576871371813</v>
      </c>
      <c r="D18" s="390">
        <f>D12*'Look Up Data'!L55</f>
        <v>73406.000781532202</v>
      </c>
      <c r="E18" s="390">
        <f>E12*'Look Up Data'!M55</f>
        <v>74244.582013969106</v>
      </c>
      <c r="F18" s="390">
        <f>F12*'Look Up Data'!N55</f>
        <v>75053.686003296447</v>
      </c>
      <c r="G18" s="390">
        <f>G12*'Look Up Data'!O55</f>
        <v>75832.1779939853</v>
      </c>
      <c r="H18" s="390">
        <f>H12*'Look Up Data'!P55</f>
        <v>76578.898057493236</v>
      </c>
      <c r="I18" s="390">
        <f>I12*'Look Up Data'!Q55</f>
        <v>77292.660638916204</v>
      </c>
      <c r="J18" s="390">
        <f>J12*'Look Up Data'!R55</f>
        <v>77972.25409635494</v>
      </c>
      <c r="K18" s="390">
        <f>K12*'Look Up Data'!S55</f>
        <v>78616.440232887573</v>
      </c>
      <c r="L18" s="390">
        <f>L12*'Look Up Data'!T55</f>
        <v>80389.011965464611</v>
      </c>
      <c r="M18" s="390">
        <f>M12*'Look Up Data'!U55</f>
        <v>80949.929686576288</v>
      </c>
      <c r="N18" s="390">
        <f>N12*'Look Up Data'!V55</f>
        <v>81471.246731215841</v>
      </c>
      <c r="O18" s="390">
        <f>O12*'Look Up Data'!W55</f>
        <v>81951.60814150449</v>
      </c>
      <c r="P18" s="390">
        <f>P12*'Look Up Data'!X55</f>
        <v>82389.629863811599</v>
      </c>
      <c r="Q18" s="390">
        <f>Q12*'Look Up Data'!Y55</f>
        <v>82783.898232810709</v>
      </c>
      <c r="R18" s="390">
        <f>R12*'Look Up Data'!Z55</f>
        <v>83132.969447319469</v>
      </c>
      <c r="S18" s="390">
        <f>S12*'Look Up Data'!AA55</f>
        <v>84533.202840930651</v>
      </c>
      <c r="T18" s="390">
        <f>T12*'Look Up Data'!AB55</f>
        <v>84776.469134828352</v>
      </c>
      <c r="U18" s="390">
        <f>U12*'Look Up Data'!AC55</f>
        <v>84969.664242585364</v>
      </c>
      <c r="V18" s="390">
        <f>V12*'Look Up Data'!AD55</f>
        <v>85111.212074961149</v>
      </c>
      <c r="W18" s="390">
        <f>W12*'Look Up Data'!AE55</f>
        <v>85199.503564154584</v>
      </c>
      <c r="X18" s="390">
        <f>X12*'Look Up Data'!AF55</f>
        <v>85232.896086434863</v>
      </c>
      <c r="Y18" s="390">
        <f>Y12*'Look Up Data'!AG55</f>
        <v>86236.335922342987</v>
      </c>
      <c r="Z18" s="390">
        <f>Z12*'Look Up Data'!AH55</f>
        <v>86141.673884936419</v>
      </c>
      <c r="AA18" s="390">
        <f>AA12*'Look Up Data'!AI55</f>
        <v>82917.126418824017</v>
      </c>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row>
    <row r="19" spans="1:50">
      <c r="A19" s="391" t="s">
        <v>194</v>
      </c>
      <c r="B19" s="390"/>
      <c r="C19" s="390">
        <f>C13*'Look Up Data'!K56</f>
        <v>6373.7677674429706</v>
      </c>
      <c r="D19" s="390">
        <f>D13*'Look Up Data'!L56</f>
        <v>6443.629370831758</v>
      </c>
      <c r="E19" s="390">
        <f>E13*'Look Up Data'!M56</f>
        <v>6512.5887606025444</v>
      </c>
      <c r="F19" s="390">
        <f>F13*'Look Up Data'!N56</f>
        <v>6580.5278723178481</v>
      </c>
      <c r="G19" s="390">
        <f>G13*'Look Up Data'!O56</f>
        <v>6543.2479331213826</v>
      </c>
      <c r="H19" s="390">
        <f>H13*'Look Up Data'!P56</f>
        <v>6504.4343580666346</v>
      </c>
      <c r="I19" s="390">
        <f>I13*'Look Up Data'!Q56</f>
        <v>6464.0587812619488</v>
      </c>
      <c r="J19" s="390">
        <f>J13*'Look Up Data'!R56</f>
        <v>6422.0924073361393</v>
      </c>
      <c r="K19" s="390">
        <f>K13*'Look Up Data'!S56</f>
        <v>6378.5060055160384</v>
      </c>
      <c r="L19" s="390">
        <f>L13*'Look Up Data'!T56</f>
        <v>6333.2699036266531</v>
      </c>
      <c r="M19" s="390">
        <f>M13*'Look Up Data'!U56</f>
        <v>6286.3539820130327</v>
      </c>
      <c r="N19" s="390">
        <f>N13*'Look Up Data'!V56</f>
        <v>6237.7276673828092</v>
      </c>
      <c r="O19" s="390">
        <f>O13*'Look Up Data'!W56</f>
        <v>6187.359926568427</v>
      </c>
      <c r="P19" s="390">
        <f>P13*'Look Up Data'!X56</f>
        <v>6135.2192602080522</v>
      </c>
      <c r="Q19" s="390">
        <f>Q13*'Look Up Data'!Y56</f>
        <v>6081.2736963441348</v>
      </c>
      <c r="R19" s="390">
        <f>R13*'Look Up Data'!Z56</f>
        <v>6025.490783938596</v>
      </c>
      <c r="S19" s="390">
        <f>S13*'Look Up Data'!AA56</f>
        <v>5967.8375863035753</v>
      </c>
      <c r="T19" s="390">
        <f>T13*'Look Up Data'!AB56</f>
        <v>5908.280674446687</v>
      </c>
      <c r="U19" s="390">
        <f>U13*'Look Up Data'!AC56</f>
        <v>5846.7861203297125</v>
      </c>
      <c r="V19" s="390">
        <f>V13*'Look Up Data'!AD56</f>
        <v>5783.3194900396293</v>
      </c>
      <c r="W19" s="390">
        <f>W13*'Look Up Data'!AE56</f>
        <v>5717.8458368709007</v>
      </c>
      <c r="X19" s="390">
        <f>X13*'Look Up Data'!AF56</f>
        <v>5650.3296943178593</v>
      </c>
      <c r="Y19" s="390">
        <f>Y13*'Look Up Data'!AG56</f>
        <v>5580.7350689761361</v>
      </c>
      <c r="Z19" s="390">
        <f>Z13*'Look Up Data'!AH56</f>
        <v>5509.0254333518915</v>
      </c>
      <c r="AA19" s="390">
        <f>AA13*'Look Up Data'!AI56</f>
        <v>5302.8056885905808</v>
      </c>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row>
    <row r="20" spans="1:50" s="166" customFormat="1">
      <c r="A20" s="289"/>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row>
    <row r="21" spans="1:50">
      <c r="A21" s="289"/>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row>
    <row r="22" spans="1:50">
      <c r="A22" s="289"/>
      <c r="B22" s="289"/>
      <c r="C22" s="289"/>
      <c r="D22" s="289"/>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row>
    <row r="23" spans="1:50">
      <c r="A23" s="289"/>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row>
    <row r="24" spans="1:50">
      <c r="A24" s="289"/>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row>
    <row r="25" spans="1:50">
      <c r="A25" s="289"/>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row>
    <row r="26" spans="1:50">
      <c r="A26" s="289"/>
    </row>
    <row r="27" spans="1:50">
      <c r="A27" s="289"/>
    </row>
    <row r="28" spans="1:50">
      <c r="A28" s="289"/>
    </row>
    <row r="29" spans="1:50">
      <c r="A29" s="289"/>
    </row>
    <row r="30" spans="1:50">
      <c r="A30" s="289"/>
    </row>
    <row r="31" spans="1:50">
      <c r="A31" s="289"/>
    </row>
    <row r="32" spans="1:50">
      <c r="A32" s="289"/>
    </row>
    <row r="33" spans="1:1">
      <c r="A33" s="289"/>
    </row>
    <row r="34" spans="1:1">
      <c r="A34" s="289"/>
    </row>
    <row r="35" spans="1:1">
      <c r="A35" s="289"/>
    </row>
    <row r="36" spans="1:1">
      <c r="A36" s="289"/>
    </row>
    <row r="37" spans="1:1">
      <c r="A37" s="289"/>
    </row>
    <row r="38" spans="1:1">
      <c r="A38" s="289"/>
    </row>
    <row r="39" spans="1:1">
      <c r="A39" s="289"/>
    </row>
    <row r="40" spans="1:1">
      <c r="A40" s="289"/>
    </row>
    <row r="41" spans="1:1">
      <c r="A41" s="289"/>
    </row>
    <row r="42" spans="1:1">
      <c r="A42" s="289"/>
    </row>
    <row r="43" spans="1:1">
      <c r="A43" s="289"/>
    </row>
    <row r="44" spans="1:1">
      <c r="A44" s="289"/>
    </row>
    <row r="45" spans="1:1">
      <c r="A45" s="289"/>
    </row>
    <row r="46" spans="1:1">
      <c r="A46" s="289"/>
    </row>
    <row r="47" spans="1:1">
      <c r="A47" s="289"/>
    </row>
    <row r="48" spans="1:1">
      <c r="A48" s="289"/>
    </row>
    <row r="49" spans="1:1">
      <c r="A49" s="289"/>
    </row>
    <row r="50" spans="1:1">
      <c r="A50" s="289"/>
    </row>
    <row r="51" spans="1:1">
      <c r="A51" s="289"/>
    </row>
    <row r="52" spans="1:1">
      <c r="A52" s="289"/>
    </row>
    <row r="53" spans="1:1">
      <c r="A53" s="289"/>
    </row>
    <row r="54" spans="1:1">
      <c r="A54" s="289"/>
    </row>
    <row r="55" spans="1:1">
      <c r="A55" s="289"/>
    </row>
    <row r="56" spans="1:1">
      <c r="A56" s="289"/>
    </row>
  </sheetData>
  <pageMargins left="0.7" right="0.7" top="0.75" bottom="0.75" header="0.3" footer="0.3"/>
  <pageSetup paperSize="3"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929F-4C6D-4D83-B7EC-B0934686FF42}">
  <sheetPr>
    <tabColor rgb="FFFFC000"/>
  </sheetPr>
  <dimension ref="A1:AV96"/>
  <sheetViews>
    <sheetView topLeftCell="A66" zoomScale="75" zoomScaleNormal="75" workbookViewId="0">
      <pane xSplit="1" topLeftCell="B1" activePane="topRight" state="frozen"/>
      <selection activeCell="A12" sqref="A12"/>
      <selection pane="topRight" activeCell="G6" sqref="G6"/>
    </sheetView>
  </sheetViews>
  <sheetFormatPr defaultColWidth="8.85546875" defaultRowHeight="15"/>
  <cols>
    <col min="1" max="1" width="45.42578125" customWidth="1"/>
    <col min="2" max="3" width="22.85546875" bestFit="1" customWidth="1"/>
    <col min="4" max="5" width="18" bestFit="1" customWidth="1"/>
    <col min="6" max="9" width="13.5703125" bestFit="1" customWidth="1"/>
    <col min="10" max="47" width="12.140625" bestFit="1" customWidth="1"/>
    <col min="48" max="48" width="9.140625" bestFit="1" customWidth="1"/>
    <col min="49" max="51" width="10.5703125" customWidth="1"/>
  </cols>
  <sheetData>
    <row r="1" spans="1:42" ht="18.75">
      <c r="A1" s="4" t="s">
        <v>172</v>
      </c>
      <c r="C1" t="s">
        <v>173</v>
      </c>
    </row>
    <row r="2" spans="1:42">
      <c r="A2" t="s">
        <v>174</v>
      </c>
      <c r="B2">
        <v>7.0000000000000007E-2</v>
      </c>
      <c r="C2" s="12" t="s">
        <v>175</v>
      </c>
      <c r="H2" s="261"/>
    </row>
    <row r="3" spans="1:42">
      <c r="A3" t="s">
        <v>177</v>
      </c>
      <c r="B3">
        <v>0.03</v>
      </c>
      <c r="C3" s="12" t="s">
        <v>175</v>
      </c>
    </row>
    <row r="4" spans="1:42" hidden="1">
      <c r="A4" t="s">
        <v>178</v>
      </c>
      <c r="B4">
        <v>300</v>
      </c>
      <c r="C4" s="12" t="s">
        <v>175</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c r="A5" t="s">
        <v>179</v>
      </c>
      <c r="B5">
        <v>1.67</v>
      </c>
      <c r="C5" s="12" t="s">
        <v>175</v>
      </c>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row>
    <row r="6" spans="1:42">
      <c r="A6" t="s">
        <v>301</v>
      </c>
      <c r="B6">
        <v>275</v>
      </c>
      <c r="C6" s="163" t="s">
        <v>180</v>
      </c>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row>
    <row r="7" spans="1:42">
      <c r="A7" t="s">
        <v>302</v>
      </c>
      <c r="B7">
        <v>365</v>
      </c>
      <c r="C7" s="163"/>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row>
    <row r="8" spans="1:42">
      <c r="A8" t="s">
        <v>181</v>
      </c>
      <c r="B8" s="236">
        <f>'Travel Time Savings - Hours'!J25</f>
        <v>1.0106182692239889</v>
      </c>
      <c r="C8" s="163" t="s">
        <v>182</v>
      </c>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row>
    <row r="9" spans="1:42">
      <c r="A9" t="s">
        <v>183</v>
      </c>
      <c r="B9" s="5">
        <v>0.45</v>
      </c>
      <c r="C9" s="7" t="s">
        <v>175</v>
      </c>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row>
    <row r="10" spans="1:42">
      <c r="A10" t="s">
        <v>184</v>
      </c>
      <c r="B10" s="5">
        <v>0.94</v>
      </c>
      <c r="C10" s="7" t="s">
        <v>175</v>
      </c>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row>
    <row r="11" spans="1:42">
      <c r="A11" t="s">
        <v>290</v>
      </c>
      <c r="B11" s="165">
        <v>24.5</v>
      </c>
      <c r="C11" s="7" t="s">
        <v>291</v>
      </c>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row>
    <row r="12" spans="1:42">
      <c r="A12" t="s">
        <v>176</v>
      </c>
      <c r="B12" s="165">
        <v>0.75</v>
      </c>
      <c r="C12" s="284" t="s">
        <v>232</v>
      </c>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row>
    <row r="13" spans="1:42" hidden="1">
      <c r="A13" s="285" t="s">
        <v>185</v>
      </c>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row>
    <row r="14" spans="1:42" hidden="1">
      <c r="A14" s="133" t="s">
        <v>186</v>
      </c>
      <c r="B14" s="5">
        <v>0.05</v>
      </c>
      <c r="C14" s="80" t="s">
        <v>187</v>
      </c>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2">
      <c r="A15" s="283"/>
      <c r="B15" s="5"/>
      <c r="C15" s="80"/>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42">
      <c r="B16" s="19"/>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row>
    <row r="17" spans="1:42" hidden="1">
      <c r="A17" s="162" t="s">
        <v>336</v>
      </c>
      <c r="B17" s="150"/>
      <c r="C17" s="54"/>
      <c r="D17" s="54"/>
      <c r="E17" s="54"/>
      <c r="F17" s="151"/>
      <c r="G17" s="151"/>
      <c r="H17" s="151"/>
      <c r="I17" s="152">
        <v>2025</v>
      </c>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hidden="1">
      <c r="A18" s="153" t="s">
        <v>80</v>
      </c>
      <c r="B18" s="19"/>
      <c r="F18" s="15"/>
      <c r="G18" s="15"/>
      <c r="H18" s="15"/>
      <c r="I18" s="154"/>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1:42" hidden="1">
      <c r="A19" s="155" t="s">
        <v>188</v>
      </c>
      <c r="B19" t="s">
        <v>189</v>
      </c>
      <c r="C19" t="s">
        <v>190</v>
      </c>
      <c r="D19" s="1" t="s">
        <v>191</v>
      </c>
      <c r="E19" s="35"/>
      <c r="F19" s="35"/>
      <c r="G19" s="35"/>
      <c r="H19" s="35"/>
      <c r="I19" s="156">
        <f>E82</f>
        <v>2.1749999999999998E-7</v>
      </c>
      <c r="J19" s="35"/>
      <c r="K19" s="3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row>
    <row r="20" spans="1:42" hidden="1">
      <c r="A20" s="155" t="s">
        <v>192</v>
      </c>
      <c r="B20" t="s">
        <v>189</v>
      </c>
      <c r="C20" t="s">
        <v>190</v>
      </c>
      <c r="D20" s="1" t="s">
        <v>191</v>
      </c>
      <c r="E20" s="35"/>
      <c r="F20" s="35"/>
      <c r="G20" s="35"/>
      <c r="H20" s="35"/>
      <c r="I20" s="156">
        <f>C82</f>
        <v>2.1999999999999998E-9</v>
      </c>
      <c r="J20" s="35"/>
      <c r="K20" s="3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1:42" hidden="1">
      <c r="A21" s="155" t="s">
        <v>193</v>
      </c>
      <c r="B21" t="s">
        <v>189</v>
      </c>
      <c r="C21" t="s">
        <v>190</v>
      </c>
      <c r="D21" s="1" t="s">
        <v>191</v>
      </c>
      <c r="E21" s="35"/>
      <c r="F21" s="35"/>
      <c r="G21" s="35"/>
      <c r="H21" s="35"/>
      <c r="I21" s="156">
        <f>F82</f>
        <v>4.0006814400000003E-4</v>
      </c>
      <c r="J21" s="35"/>
      <c r="K21" s="3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row>
    <row r="22" spans="1:42" hidden="1">
      <c r="A22" s="155" t="s">
        <v>194</v>
      </c>
      <c r="B22" t="s">
        <v>189</v>
      </c>
      <c r="C22" t="s">
        <v>190</v>
      </c>
      <c r="D22" s="1" t="s">
        <v>191</v>
      </c>
      <c r="E22" s="35"/>
      <c r="F22" s="35"/>
      <c r="G22" s="35"/>
      <c r="H22" s="35"/>
      <c r="I22" s="156">
        <f>B82</f>
        <v>9.3999999999999998E-9</v>
      </c>
      <c r="J22" s="35"/>
      <c r="K22" s="3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row>
    <row r="23" spans="1:42" hidden="1">
      <c r="A23" s="153" t="s">
        <v>85</v>
      </c>
      <c r="B23" s="37"/>
      <c r="C23" s="37"/>
      <c r="D23" s="38"/>
      <c r="E23" s="46"/>
      <c r="F23" s="46"/>
      <c r="G23" s="46"/>
      <c r="H23" s="46"/>
      <c r="I23" s="157"/>
      <c r="J23" s="35"/>
      <c r="K23" s="3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row>
    <row r="24" spans="1:42" hidden="1">
      <c r="A24" s="155" t="s">
        <v>188</v>
      </c>
      <c r="B24" t="s">
        <v>189</v>
      </c>
      <c r="C24" t="s">
        <v>190</v>
      </c>
      <c r="D24" s="1" t="s">
        <v>195</v>
      </c>
      <c r="E24" s="35"/>
      <c r="F24" s="35"/>
      <c r="G24" s="35"/>
      <c r="H24" s="35"/>
      <c r="I24" s="156">
        <f>E83</f>
        <v>1.0682E-6</v>
      </c>
      <c r="J24" s="35"/>
      <c r="K24" s="3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2" hidden="1">
      <c r="A25" s="155" t="s">
        <v>192</v>
      </c>
      <c r="B25" t="s">
        <v>189</v>
      </c>
      <c r="C25" t="s">
        <v>190</v>
      </c>
      <c r="D25" s="1" t="s">
        <v>195</v>
      </c>
      <c r="E25" s="35"/>
      <c r="F25" s="35"/>
      <c r="G25" s="35"/>
      <c r="H25" s="35"/>
      <c r="I25" s="156">
        <f>C83</f>
        <v>3.4999999999999999E-9</v>
      </c>
      <c r="J25" s="35"/>
      <c r="K25" s="3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2" hidden="1">
      <c r="A26" s="155" t="s">
        <v>193</v>
      </c>
      <c r="B26" t="s">
        <v>189</v>
      </c>
      <c r="C26" t="s">
        <v>190</v>
      </c>
      <c r="D26" s="1" t="s">
        <v>195</v>
      </c>
      <c r="E26" s="35"/>
      <c r="F26" s="35"/>
      <c r="G26" s="35"/>
      <c r="H26" s="35"/>
      <c r="I26" s="156">
        <f>F83</f>
        <v>1.3564215167999997E-3</v>
      </c>
      <c r="J26" s="35"/>
      <c r="K26" s="3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2" hidden="1">
      <c r="A27" s="155" t="s">
        <v>194</v>
      </c>
      <c r="B27" t="s">
        <v>189</v>
      </c>
      <c r="C27" t="s">
        <v>190</v>
      </c>
      <c r="D27" s="1" t="s">
        <v>195</v>
      </c>
      <c r="E27" s="35"/>
      <c r="F27" s="35"/>
      <c r="G27" s="35"/>
      <c r="H27" s="35"/>
      <c r="I27" s="156">
        <f>B83</f>
        <v>3.4099999999999994E-8</v>
      </c>
      <c r="J27" s="35"/>
      <c r="K27" s="3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1:42" hidden="1">
      <c r="A28" s="153" t="s">
        <v>86</v>
      </c>
      <c r="B28" s="37"/>
      <c r="C28" s="37"/>
      <c r="D28" s="38"/>
      <c r="E28" s="46"/>
      <c r="F28" s="46"/>
      <c r="G28" s="46"/>
      <c r="H28" s="46"/>
      <c r="I28" s="157"/>
      <c r="J28" s="35"/>
      <c r="K28" s="3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row>
    <row r="29" spans="1:42" hidden="1">
      <c r="A29" s="155" t="s">
        <v>188</v>
      </c>
      <c r="B29" t="s">
        <v>189</v>
      </c>
      <c r="C29" t="s">
        <v>190</v>
      </c>
      <c r="D29" s="1" t="s">
        <v>196</v>
      </c>
      <c r="E29" s="35"/>
      <c r="F29" s="35"/>
      <c r="G29" s="35"/>
      <c r="H29" s="35"/>
      <c r="I29" s="156">
        <f>E84</f>
        <v>3.9024000000000001E-6</v>
      </c>
      <c r="J29" s="35"/>
      <c r="K29" s="3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row>
    <row r="30" spans="1:42" hidden="1">
      <c r="A30" s="155" t="s">
        <v>192</v>
      </c>
      <c r="B30" t="s">
        <v>189</v>
      </c>
      <c r="C30" t="s">
        <v>190</v>
      </c>
      <c r="D30" s="1" t="s">
        <v>196</v>
      </c>
      <c r="E30" s="35"/>
      <c r="F30" s="35"/>
      <c r="G30" s="35"/>
      <c r="H30" s="35"/>
      <c r="I30" s="156">
        <f>C84</f>
        <v>5.4999999999999996E-9</v>
      </c>
      <c r="J30" s="35"/>
      <c r="K30" s="3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row>
    <row r="31" spans="1:42" hidden="1">
      <c r="A31" s="155" t="s">
        <v>193</v>
      </c>
      <c r="B31" t="s">
        <v>189</v>
      </c>
      <c r="C31" t="s">
        <v>190</v>
      </c>
      <c r="D31" s="1" t="s">
        <v>196</v>
      </c>
      <c r="E31" s="35"/>
      <c r="F31" s="35"/>
      <c r="G31" s="35"/>
      <c r="H31" s="35"/>
      <c r="I31" s="156">
        <f>F84</f>
        <v>1.6795241702399998E-3</v>
      </c>
      <c r="J31" s="35"/>
      <c r="K31" s="3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row>
    <row r="32" spans="1:42" ht="15.75" hidden="1" thickBot="1">
      <c r="A32" s="158" t="s">
        <v>194</v>
      </c>
      <c r="B32" s="97" t="s">
        <v>189</v>
      </c>
      <c r="C32" s="97" t="s">
        <v>190</v>
      </c>
      <c r="D32" s="159" t="s">
        <v>196</v>
      </c>
      <c r="E32" s="160"/>
      <c r="F32" s="160"/>
      <c r="G32" s="160"/>
      <c r="H32" s="160"/>
      <c r="I32" s="161">
        <f>B84</f>
        <v>8.3900000000000004E-8</v>
      </c>
      <c r="J32" s="35"/>
      <c r="K32" s="3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row>
    <row r="33" spans="1:48" hidden="1">
      <c r="B33" s="19"/>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row>
    <row r="34" spans="1:48" ht="15.75" hidden="1" thickBot="1">
      <c r="A34" t="s">
        <v>197</v>
      </c>
    </row>
    <row r="35" spans="1:48" ht="30" hidden="1" customHeight="1">
      <c r="A35" s="36" t="s">
        <v>80</v>
      </c>
      <c r="B35" s="37" t="s">
        <v>173</v>
      </c>
      <c r="C35" s="37" t="s">
        <v>198</v>
      </c>
      <c r="D35" s="37" t="s">
        <v>199</v>
      </c>
      <c r="E35" s="37">
        <v>2021</v>
      </c>
      <c r="F35" s="37">
        <f t="shared" ref="F35:I35" si="0">E35+1</f>
        <v>2022</v>
      </c>
      <c r="G35" s="37">
        <f t="shared" si="0"/>
        <v>2023</v>
      </c>
      <c r="H35" s="37">
        <f t="shared" si="0"/>
        <v>2024</v>
      </c>
      <c r="I35" s="37">
        <f t="shared" si="0"/>
        <v>2025</v>
      </c>
      <c r="K35" s="47" t="s">
        <v>200</v>
      </c>
      <c r="L35" s="53" t="s">
        <v>201</v>
      </c>
      <c r="M35" s="54"/>
      <c r="N35" s="55"/>
    </row>
    <row r="36" spans="1:48" hidden="1">
      <c r="A36" s="1" t="s">
        <v>188</v>
      </c>
      <c r="B36" t="s">
        <v>189</v>
      </c>
      <c r="C36" t="s">
        <v>202</v>
      </c>
      <c r="D36" s="1" t="s">
        <v>191</v>
      </c>
      <c r="E36" s="35">
        <v>8.5450060466600447E-3</v>
      </c>
      <c r="F36" s="35">
        <v>7.6511092891687008E-3</v>
      </c>
      <c r="G36" s="35">
        <v>6.8653120412397999E-3</v>
      </c>
      <c r="H36" s="35">
        <v>5.8059735779865994E-3</v>
      </c>
      <c r="I36" s="35">
        <v>5.1281335448992351E-3</v>
      </c>
      <c r="K36" s="35">
        <f>(E36-I36)/4</f>
        <v>8.542181254402024E-4</v>
      </c>
      <c r="L36" s="56">
        <f>1-((I36/E36)^0.25)</f>
        <v>0.11983977626253994</v>
      </c>
      <c r="M36" s="57">
        <f>I36/E36</f>
        <v>0.60013223125847293</v>
      </c>
      <c r="N36" s="58">
        <f>(1-L36)^4</f>
        <v>0.60013223125847281</v>
      </c>
      <c r="O36" s="14"/>
      <c r="P36" s="52"/>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row>
    <row r="37" spans="1:48" hidden="1">
      <c r="A37" s="1" t="s">
        <v>192</v>
      </c>
      <c r="B37" t="s">
        <v>189</v>
      </c>
      <c r="C37" t="s">
        <v>202</v>
      </c>
      <c r="D37" s="1" t="s">
        <v>191</v>
      </c>
      <c r="E37" s="35">
        <v>7.2132926660796009E-5</v>
      </c>
      <c r="F37" s="35">
        <v>7.0433727530917151E-5</v>
      </c>
      <c r="G37" s="35">
        <v>6.8766260104465349E-5</v>
      </c>
      <c r="H37" s="35">
        <v>6.7192586141458398E-5</v>
      </c>
      <c r="I37" s="35">
        <v>6.5667366300210453E-5</v>
      </c>
      <c r="K37" s="35">
        <f t="shared" ref="K37:K49" si="1">(E37-I37)/4</f>
        <v>1.616390090146389E-6</v>
      </c>
      <c r="L37" s="56">
        <f t="shared" ref="L37:L39" si="2">1-((I37/E37)^0.25)</f>
        <v>2.3203687761114922E-2</v>
      </c>
      <c r="M37" s="57">
        <f t="shared" ref="M37:M39" si="3">I37/E37</f>
        <v>0.91036603310177955</v>
      </c>
      <c r="N37" s="58">
        <f t="shared" ref="N37:N39" si="4">(1-L37)^4</f>
        <v>0.91036603310177966</v>
      </c>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row>
    <row r="38" spans="1:48" hidden="1">
      <c r="A38" s="1" t="s">
        <v>193</v>
      </c>
      <c r="B38" t="s">
        <v>189</v>
      </c>
      <c r="C38" t="s">
        <v>202</v>
      </c>
      <c r="D38" s="1" t="s">
        <v>191</v>
      </c>
      <c r="E38" s="35">
        <v>12.037928675379451</v>
      </c>
      <c r="F38" s="35">
        <v>11.759562571592529</v>
      </c>
      <c r="G38" s="35">
        <v>11.486911543557891</v>
      </c>
      <c r="H38" s="35">
        <v>11.228309927087855</v>
      </c>
      <c r="I38" s="35">
        <v>10.978736079207595</v>
      </c>
      <c r="K38" s="35">
        <f t="shared" si="1"/>
        <v>0.26479814904296406</v>
      </c>
      <c r="L38" s="56">
        <f t="shared" si="2"/>
        <v>2.2762453174597019E-2</v>
      </c>
      <c r="M38" s="57">
        <f t="shared" si="3"/>
        <v>0.91201205583331224</v>
      </c>
      <c r="N38" s="58">
        <f t="shared" si="4"/>
        <v>0.91201205583331235</v>
      </c>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row>
    <row r="39" spans="1:48" hidden="1">
      <c r="A39" s="1" t="s">
        <v>194</v>
      </c>
      <c r="B39" t="s">
        <v>189</v>
      </c>
      <c r="C39" t="s">
        <v>202</v>
      </c>
      <c r="D39" s="1" t="s">
        <v>191</v>
      </c>
      <c r="E39" s="35">
        <v>3.0632565713118853E-4</v>
      </c>
      <c r="F39" s="35">
        <v>2.9959116902102101E-4</v>
      </c>
      <c r="G39" s="35">
        <v>2.9424032121831299E-4</v>
      </c>
      <c r="H39" s="35">
        <v>2.8992620044270603E-4</v>
      </c>
      <c r="I39" s="35">
        <v>2.829435071876085E-4</v>
      </c>
      <c r="K39" s="35">
        <f t="shared" si="1"/>
        <v>5.8455374858950069E-6</v>
      </c>
      <c r="L39" s="56">
        <f t="shared" si="2"/>
        <v>1.9654658045603068E-2</v>
      </c>
      <c r="M39" s="57">
        <f t="shared" si="3"/>
        <v>0.92366897973039763</v>
      </c>
      <c r="N39" s="58">
        <f t="shared" si="4"/>
        <v>0.9236689797303973</v>
      </c>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row>
    <row r="40" spans="1:48" hidden="1">
      <c r="A40" s="36" t="s">
        <v>85</v>
      </c>
      <c r="B40" s="37"/>
      <c r="C40" s="37"/>
      <c r="D40" s="38"/>
      <c r="E40" s="46"/>
      <c r="F40" s="46"/>
      <c r="G40" s="46"/>
      <c r="H40" s="46"/>
      <c r="I40" s="46"/>
      <c r="K40" s="35"/>
      <c r="L40" s="59"/>
      <c r="M40" s="57"/>
      <c r="N40" s="58"/>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row>
    <row r="41" spans="1:48" hidden="1">
      <c r="A41" s="1" t="s">
        <v>188</v>
      </c>
      <c r="B41" t="s">
        <v>189</v>
      </c>
      <c r="C41" t="s">
        <v>202</v>
      </c>
      <c r="D41" s="1" t="s">
        <v>195</v>
      </c>
      <c r="E41" s="35">
        <v>3.4463585429905769E-2</v>
      </c>
      <c r="F41" s="35">
        <v>3.1572070532242535E-2</v>
      </c>
      <c r="G41" s="35">
        <v>2.9019750254825966E-2</v>
      </c>
      <c r="H41" s="35">
        <v>2.7160774592576754E-2</v>
      </c>
      <c r="I41" s="35">
        <v>2.5496414369442097E-2</v>
      </c>
      <c r="K41" s="35">
        <f t="shared" si="1"/>
        <v>2.2417927651159179E-3</v>
      </c>
      <c r="L41" s="56">
        <f>1-((I41/E41)^0.25)</f>
        <v>7.2573154722788691E-2</v>
      </c>
      <c r="M41" s="57">
        <f>I41/E41</f>
        <v>0.73980736627935373</v>
      </c>
      <c r="N41" s="58">
        <f>(1-L41)^4</f>
        <v>0.73980736627935362</v>
      </c>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row>
    <row r="42" spans="1:48" hidden="1">
      <c r="A42" s="1" t="s">
        <v>192</v>
      </c>
      <c r="B42" t="s">
        <v>189</v>
      </c>
      <c r="C42" t="s">
        <v>202</v>
      </c>
      <c r="D42" s="1" t="s">
        <v>195</v>
      </c>
      <c r="E42" s="35">
        <v>1.0167331237615703E-4</v>
      </c>
      <c r="F42" s="35">
        <v>1.001949873501705E-4</v>
      </c>
      <c r="G42" s="35">
        <v>9.8684556941726128E-5</v>
      </c>
      <c r="H42" s="35">
        <v>9.706183439254594E-5</v>
      </c>
      <c r="I42" s="35">
        <v>9.5575135860508111E-5</v>
      </c>
      <c r="K42" s="35">
        <f t="shared" si="1"/>
        <v>1.5245441289122303E-6</v>
      </c>
      <c r="L42" s="56">
        <f t="shared" ref="L42:L44" si="5">1-((I42/E42)^0.25)</f>
        <v>1.5344099155383262E-2</v>
      </c>
      <c r="M42" s="57">
        <f t="shared" ref="M42:M44" si="6">I42/E42</f>
        <v>0.94002185654099946</v>
      </c>
      <c r="N42" s="58">
        <f t="shared" ref="N42:N44" si="7">(1-L42)^4</f>
        <v>0.94002185654099935</v>
      </c>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row>
    <row r="43" spans="1:48" hidden="1">
      <c r="A43" s="1" t="s">
        <v>193</v>
      </c>
      <c r="B43" t="s">
        <v>189</v>
      </c>
      <c r="C43" t="s">
        <v>202</v>
      </c>
      <c r="D43" s="1" t="s">
        <v>195</v>
      </c>
      <c r="E43" s="35">
        <v>23.361559574991535</v>
      </c>
      <c r="F43" s="35">
        <v>23.023153573541567</v>
      </c>
      <c r="G43" s="35">
        <v>22.677212438268267</v>
      </c>
      <c r="H43" s="35">
        <v>22.313964601471767</v>
      </c>
      <c r="I43" s="35">
        <v>21.96827626278403</v>
      </c>
      <c r="K43" s="35">
        <f t="shared" si="1"/>
        <v>0.34832082805187614</v>
      </c>
      <c r="L43" s="56">
        <f t="shared" si="5"/>
        <v>1.5255560177574345E-2</v>
      </c>
      <c r="M43" s="57">
        <f t="shared" si="6"/>
        <v>0.9403600043167063</v>
      </c>
      <c r="N43" s="58">
        <f t="shared" si="7"/>
        <v>0.9403600043167063</v>
      </c>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row>
    <row r="44" spans="1:48" hidden="1">
      <c r="A44" s="1" t="s">
        <v>194</v>
      </c>
      <c r="B44" t="s">
        <v>189</v>
      </c>
      <c r="C44" t="s">
        <v>202</v>
      </c>
      <c r="D44" s="1" t="s">
        <v>195</v>
      </c>
      <c r="E44" s="35">
        <v>1.1573209875234117E-3</v>
      </c>
      <c r="F44" s="35">
        <v>1.019083501418952E-3</v>
      </c>
      <c r="G44" s="35">
        <v>9.1323582477745302E-4</v>
      </c>
      <c r="H44" s="35">
        <v>8.7119567033948234E-4</v>
      </c>
      <c r="I44" s="35">
        <v>7.7832435653827964E-4</v>
      </c>
      <c r="K44" s="35">
        <f t="shared" si="1"/>
        <v>9.4749157746283006E-5</v>
      </c>
      <c r="L44" s="56">
        <f t="shared" si="5"/>
        <v>9.4420259278590657E-2</v>
      </c>
      <c r="M44" s="57">
        <f t="shared" si="6"/>
        <v>0.67252245913542186</v>
      </c>
      <c r="N44" s="58">
        <f t="shared" si="7"/>
        <v>0.67252245913542186</v>
      </c>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row>
    <row r="45" spans="1:48" hidden="1">
      <c r="A45" s="36" t="s">
        <v>86</v>
      </c>
      <c r="B45" s="37"/>
      <c r="C45" s="37"/>
      <c r="D45" s="38"/>
      <c r="E45" s="46"/>
      <c r="F45" s="46"/>
      <c r="G45" s="46"/>
      <c r="H45" s="46"/>
      <c r="I45" s="46"/>
      <c r="K45" s="35"/>
      <c r="L45" s="59"/>
      <c r="M45" s="57"/>
      <c r="N45" s="58"/>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row>
    <row r="46" spans="1:48" hidden="1">
      <c r="A46" s="1" t="s">
        <v>188</v>
      </c>
      <c r="B46" t="s">
        <v>189</v>
      </c>
      <c r="C46" t="s">
        <v>202</v>
      </c>
      <c r="D46" s="1" t="s">
        <v>196</v>
      </c>
      <c r="E46" s="35">
        <v>0.16987695171033151</v>
      </c>
      <c r="F46" s="35">
        <v>0.15683592590047502</v>
      </c>
      <c r="G46" s="35">
        <v>0.1462970413405105</v>
      </c>
      <c r="H46" s="35">
        <v>0.13760244045116049</v>
      </c>
      <c r="I46" s="35">
        <v>0.13028352121936951</v>
      </c>
      <c r="K46" s="35">
        <f t="shared" si="1"/>
        <v>9.8983576227405015E-3</v>
      </c>
      <c r="L46" s="56">
        <f>1-((I46/E46)^0.25)</f>
        <v>6.4187682725352246E-2</v>
      </c>
      <c r="M46" s="57">
        <f>I46/E46</f>
        <v>0.7669287676030625</v>
      </c>
      <c r="N46" s="58">
        <f>(1-L46)^4</f>
        <v>0.7669287676030625</v>
      </c>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row>
    <row r="47" spans="1:48" hidden="1">
      <c r="A47" s="1" t="s">
        <v>192</v>
      </c>
      <c r="B47" t="s">
        <v>189</v>
      </c>
      <c r="C47" t="s">
        <v>202</v>
      </c>
      <c r="D47" s="1" t="s">
        <v>196</v>
      </c>
      <c r="E47" s="35">
        <v>2.16900499084816E-4</v>
      </c>
      <c r="F47" s="35">
        <v>2.1278563151579051E-4</v>
      </c>
      <c r="G47" s="35">
        <v>2.0902428547408251E-4</v>
      </c>
      <c r="H47" s="35">
        <v>2.0455478043755E-4</v>
      </c>
      <c r="I47" s="35">
        <v>2.00433613181854E-4</v>
      </c>
      <c r="K47" s="35">
        <f t="shared" si="1"/>
        <v>4.1167214757404982E-6</v>
      </c>
      <c r="L47" s="56">
        <f t="shared" ref="L47:L49" si="8">1-((I47/E47)^0.25)</f>
        <v>1.9545371549401613E-2</v>
      </c>
      <c r="M47" s="57">
        <f t="shared" ref="M47:M49" si="9">I47/E47</f>
        <v>0.92408092202442171</v>
      </c>
      <c r="N47" s="58">
        <f t="shared" ref="N47:N49" si="10">(1-L47)^4</f>
        <v>0.92408092202442171</v>
      </c>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row>
    <row r="48" spans="1:48" hidden="1">
      <c r="A48" s="1" t="s">
        <v>193</v>
      </c>
      <c r="B48" t="s">
        <v>189</v>
      </c>
      <c r="C48" t="s">
        <v>202</v>
      </c>
      <c r="D48" s="1" t="s">
        <v>196</v>
      </c>
      <c r="E48" s="35">
        <v>64.371869643100041</v>
      </c>
      <c r="F48" s="35">
        <v>63.228150536820401</v>
      </c>
      <c r="G48" s="35">
        <v>62.165453853429256</v>
      </c>
      <c r="H48" s="35">
        <v>60.886592066537048</v>
      </c>
      <c r="I48" s="35">
        <v>59.703327654803843</v>
      </c>
      <c r="K48" s="35">
        <f t="shared" si="1"/>
        <v>1.1671354970740495</v>
      </c>
      <c r="L48" s="56">
        <f t="shared" si="8"/>
        <v>1.8646210863304202E-2</v>
      </c>
      <c r="M48" s="57">
        <f t="shared" si="9"/>
        <v>0.92747543275998956</v>
      </c>
      <c r="N48" s="58">
        <f t="shared" si="10"/>
        <v>0.92747543275998967</v>
      </c>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row>
    <row r="49" spans="1:48" ht="15.75" hidden="1" thickBot="1">
      <c r="A49" s="1" t="s">
        <v>194</v>
      </c>
      <c r="B49" t="s">
        <v>189</v>
      </c>
      <c r="C49" t="s">
        <v>202</v>
      </c>
      <c r="D49" s="1" t="s">
        <v>196</v>
      </c>
      <c r="E49" s="35">
        <v>4.0229070464997954E-3</v>
      </c>
      <c r="F49" s="35">
        <v>3.5063855597423049E-3</v>
      </c>
      <c r="G49" s="35">
        <v>3.1250962260919151E-3</v>
      </c>
      <c r="H49" s="35">
        <v>2.8001477516435801E-3</v>
      </c>
      <c r="I49" s="35">
        <v>2.5334269742567353E-3</v>
      </c>
      <c r="K49" s="35">
        <f t="shared" si="1"/>
        <v>3.7237001806076503E-4</v>
      </c>
      <c r="L49" s="60">
        <f t="shared" si="8"/>
        <v>0.10917561208385518</v>
      </c>
      <c r="M49" s="61">
        <f t="shared" si="9"/>
        <v>0.62975031363476075</v>
      </c>
      <c r="N49" s="62">
        <f t="shared" si="10"/>
        <v>0.62975031363476075</v>
      </c>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row>
    <row r="50" spans="1:48" hidden="1">
      <c r="A50" s="1"/>
      <c r="D50" s="1"/>
      <c r="E50" s="35"/>
      <c r="F50" s="35"/>
      <c r="G50" s="35"/>
      <c r="H50" s="35"/>
      <c r="I50" s="35"/>
      <c r="K50" s="35"/>
      <c r="L50" s="149"/>
      <c r="M50" s="57"/>
      <c r="N50" s="57"/>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row>
    <row r="51" spans="1:48">
      <c r="A51" s="1"/>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row>
    <row r="52" spans="1:48">
      <c r="A52" s="16" t="s">
        <v>203</v>
      </c>
      <c r="B52" t="s">
        <v>173</v>
      </c>
      <c r="C52" t="s">
        <v>198</v>
      </c>
      <c r="E52">
        <v>2021</v>
      </c>
      <c r="F52">
        <f>E52+1</f>
        <v>2022</v>
      </c>
      <c r="G52">
        <f t="shared" ref="G52" si="11">F52+1</f>
        <v>2023</v>
      </c>
      <c r="H52">
        <f t="shared" ref="H52" si="12">G52+1</f>
        <v>2024</v>
      </c>
      <c r="I52">
        <f t="shared" ref="I52" si="13">H52+1</f>
        <v>2025</v>
      </c>
      <c r="J52">
        <f t="shared" ref="J52" si="14">I52+1</f>
        <v>2026</v>
      </c>
      <c r="K52">
        <f t="shared" ref="K52" si="15">J52+1</f>
        <v>2027</v>
      </c>
      <c r="L52">
        <f t="shared" ref="L52" si="16">K52+1</f>
        <v>2028</v>
      </c>
      <c r="M52">
        <f t="shared" ref="M52" si="17">L52+1</f>
        <v>2029</v>
      </c>
      <c r="N52">
        <f t="shared" ref="N52" si="18">M52+1</f>
        <v>2030</v>
      </c>
      <c r="O52">
        <f t="shared" ref="O52" si="19">N52+1</f>
        <v>2031</v>
      </c>
      <c r="P52">
        <f t="shared" ref="P52" si="20">O52+1</f>
        <v>2032</v>
      </c>
      <c r="Q52">
        <f t="shared" ref="Q52" si="21">P52+1</f>
        <v>2033</v>
      </c>
      <c r="R52">
        <f t="shared" ref="R52" si="22">Q52+1</f>
        <v>2034</v>
      </c>
      <c r="S52">
        <f t="shared" ref="S52" si="23">R52+1</f>
        <v>2035</v>
      </c>
      <c r="T52">
        <f t="shared" ref="T52" si="24">S52+1</f>
        <v>2036</v>
      </c>
      <c r="U52">
        <f t="shared" ref="U52" si="25">T52+1</f>
        <v>2037</v>
      </c>
      <c r="V52">
        <f t="shared" ref="V52" si="26">U52+1</f>
        <v>2038</v>
      </c>
      <c r="W52">
        <f t="shared" ref="W52" si="27">V52+1</f>
        <v>2039</v>
      </c>
      <c r="X52">
        <f t="shared" ref="X52" si="28">W52+1</f>
        <v>2040</v>
      </c>
      <c r="Y52">
        <f t="shared" ref="Y52" si="29">X52+1</f>
        <v>2041</v>
      </c>
      <c r="Z52">
        <f t="shared" ref="Z52" si="30">Y52+1</f>
        <v>2042</v>
      </c>
      <c r="AA52">
        <f t="shared" ref="AA52" si="31">Z52+1</f>
        <v>2043</v>
      </c>
      <c r="AB52">
        <f t="shared" ref="AB52" si="32">AA52+1</f>
        <v>2044</v>
      </c>
      <c r="AC52">
        <f t="shared" ref="AC52" si="33">AB52+1</f>
        <v>2045</v>
      </c>
      <c r="AD52">
        <f t="shared" ref="AD52" si="34">AC52+1</f>
        <v>2046</v>
      </c>
      <c r="AE52">
        <f t="shared" ref="AE52" si="35">AD52+1</f>
        <v>2047</v>
      </c>
      <c r="AF52">
        <f t="shared" ref="AF52" si="36">AE52+1</f>
        <v>2048</v>
      </c>
      <c r="AG52">
        <f t="shared" ref="AG52" si="37">AF52+1</f>
        <v>2049</v>
      </c>
      <c r="AH52">
        <f t="shared" ref="AH52" si="38">AG52+1</f>
        <v>2050</v>
      </c>
      <c r="AI52">
        <f t="shared" ref="AI52" si="39">AH52+1</f>
        <v>2051</v>
      </c>
      <c r="AJ52">
        <f t="shared" ref="AJ52" si="40">AI52+1</f>
        <v>2052</v>
      </c>
    </row>
    <row r="53" spans="1:48">
      <c r="A53" s="1" t="s">
        <v>204</v>
      </c>
      <c r="B53" s="12" t="s">
        <v>205</v>
      </c>
      <c r="C53" t="s">
        <v>206</v>
      </c>
      <c r="E53" s="164">
        <v>15600</v>
      </c>
      <c r="F53" s="164">
        <v>15800</v>
      </c>
      <c r="G53" s="164">
        <v>16000</v>
      </c>
      <c r="H53" s="164">
        <v>16200</v>
      </c>
      <c r="I53" s="164">
        <v>16500</v>
      </c>
      <c r="J53" s="164">
        <v>16800</v>
      </c>
      <c r="K53" s="164">
        <v>17100</v>
      </c>
      <c r="L53" s="164">
        <v>17400</v>
      </c>
      <c r="M53" s="164">
        <v>17700</v>
      </c>
      <c r="N53" s="164">
        <v>18100</v>
      </c>
      <c r="O53" s="164">
        <v>18100</v>
      </c>
      <c r="P53" s="164">
        <v>18100</v>
      </c>
      <c r="Q53" s="164">
        <v>18100</v>
      </c>
      <c r="R53" s="164">
        <v>18100</v>
      </c>
      <c r="S53" s="164">
        <v>18100</v>
      </c>
      <c r="T53" s="164">
        <v>18100</v>
      </c>
      <c r="U53" s="164">
        <v>18100</v>
      </c>
      <c r="V53" s="164">
        <v>18100</v>
      </c>
      <c r="W53" s="164">
        <v>18100</v>
      </c>
      <c r="X53" s="164">
        <v>18100</v>
      </c>
      <c r="Y53" s="164">
        <v>18100</v>
      </c>
      <c r="Z53" s="164">
        <v>18100</v>
      </c>
      <c r="AA53" s="164">
        <v>18100</v>
      </c>
      <c r="AB53" s="164">
        <v>18100</v>
      </c>
      <c r="AC53" s="164">
        <v>18100</v>
      </c>
      <c r="AD53" s="164">
        <v>18100</v>
      </c>
      <c r="AE53" s="164">
        <v>18100</v>
      </c>
      <c r="AF53" s="164">
        <v>18100</v>
      </c>
      <c r="AG53" s="164">
        <v>18100</v>
      </c>
      <c r="AH53" s="164">
        <v>18100</v>
      </c>
      <c r="AI53" s="164">
        <v>18100</v>
      </c>
      <c r="AJ53" s="164">
        <v>18100</v>
      </c>
      <c r="AK53" s="14"/>
      <c r="AL53" s="14"/>
      <c r="AM53" s="14"/>
      <c r="AN53" s="14"/>
      <c r="AO53" s="14"/>
      <c r="AP53" s="14"/>
      <c r="AQ53" s="14"/>
      <c r="AR53" s="14"/>
      <c r="AS53" s="14"/>
      <c r="AT53" s="14"/>
      <c r="AU53" s="14"/>
      <c r="AV53" s="14"/>
    </row>
    <row r="54" spans="1:48">
      <c r="A54" s="1" t="s">
        <v>207</v>
      </c>
      <c r="B54" s="12" t="s">
        <v>205</v>
      </c>
      <c r="C54" t="s">
        <v>206</v>
      </c>
      <c r="E54" s="164">
        <v>41500</v>
      </c>
      <c r="F54" s="164">
        <v>42300</v>
      </c>
      <c r="G54" s="164">
        <v>43100</v>
      </c>
      <c r="H54" s="164">
        <v>44000</v>
      </c>
      <c r="I54" s="164">
        <v>44900</v>
      </c>
      <c r="J54" s="164">
        <v>45700</v>
      </c>
      <c r="K54" s="164">
        <v>46500</v>
      </c>
      <c r="L54" s="164">
        <v>47300</v>
      </c>
      <c r="M54" s="164">
        <v>48200</v>
      </c>
      <c r="N54" s="164">
        <v>49100</v>
      </c>
      <c r="O54" s="164">
        <v>49100</v>
      </c>
      <c r="P54" s="164">
        <v>49100</v>
      </c>
      <c r="Q54" s="164">
        <v>49100</v>
      </c>
      <c r="R54" s="164">
        <v>49100</v>
      </c>
      <c r="S54" s="164">
        <v>49100</v>
      </c>
      <c r="T54" s="164">
        <v>49100</v>
      </c>
      <c r="U54" s="164">
        <v>49100</v>
      </c>
      <c r="V54" s="164">
        <v>49100</v>
      </c>
      <c r="W54" s="164">
        <v>49100</v>
      </c>
      <c r="X54" s="164">
        <v>49100</v>
      </c>
      <c r="Y54" s="164">
        <v>49100</v>
      </c>
      <c r="Z54" s="164">
        <v>49100</v>
      </c>
      <c r="AA54" s="164">
        <v>49100</v>
      </c>
      <c r="AB54" s="164">
        <v>49100</v>
      </c>
      <c r="AC54" s="164">
        <v>49100</v>
      </c>
      <c r="AD54" s="164">
        <v>49100</v>
      </c>
      <c r="AE54" s="164">
        <v>49100</v>
      </c>
      <c r="AF54" s="164">
        <v>49100</v>
      </c>
      <c r="AG54" s="164">
        <v>49100</v>
      </c>
      <c r="AH54" s="164">
        <v>49100</v>
      </c>
      <c r="AI54" s="164">
        <v>49100</v>
      </c>
      <c r="AJ54" s="164">
        <v>49100</v>
      </c>
      <c r="AK54" s="14"/>
      <c r="AL54" s="14"/>
      <c r="AM54" s="14"/>
      <c r="AN54" s="14"/>
      <c r="AO54" s="14"/>
      <c r="AP54" s="14"/>
      <c r="AQ54" s="14"/>
      <c r="AR54" s="14"/>
      <c r="AS54" s="14"/>
      <c r="AT54" s="14"/>
      <c r="AU54" s="14"/>
      <c r="AV54" s="14"/>
    </row>
    <row r="55" spans="1:48" ht="18">
      <c r="A55" s="1" t="s">
        <v>208</v>
      </c>
      <c r="B55" s="12" t="s">
        <v>205</v>
      </c>
      <c r="C55" t="s">
        <v>206</v>
      </c>
      <c r="E55" s="164">
        <v>52</v>
      </c>
      <c r="F55" s="164">
        <v>53</v>
      </c>
      <c r="G55" s="164">
        <v>54</v>
      </c>
      <c r="H55" s="164">
        <v>55</v>
      </c>
      <c r="I55" s="164">
        <v>56</v>
      </c>
      <c r="J55" s="164">
        <v>57</v>
      </c>
      <c r="K55" s="164">
        <v>58</v>
      </c>
      <c r="L55" s="164">
        <v>60</v>
      </c>
      <c r="M55" s="164">
        <v>61</v>
      </c>
      <c r="N55" s="164">
        <v>62</v>
      </c>
      <c r="O55" s="164">
        <v>63</v>
      </c>
      <c r="P55" s="164">
        <v>64</v>
      </c>
      <c r="Q55" s="164">
        <v>65</v>
      </c>
      <c r="R55" s="164">
        <v>66</v>
      </c>
      <c r="S55" s="164">
        <v>67</v>
      </c>
      <c r="T55" s="164">
        <v>69</v>
      </c>
      <c r="U55" s="164">
        <v>70</v>
      </c>
      <c r="V55" s="164">
        <v>71</v>
      </c>
      <c r="W55" s="164">
        <v>72</v>
      </c>
      <c r="X55" s="164">
        <v>73</v>
      </c>
      <c r="Y55" s="164">
        <v>74</v>
      </c>
      <c r="Z55" s="164">
        <v>75</v>
      </c>
      <c r="AA55" s="164">
        <v>77</v>
      </c>
      <c r="AB55" s="164">
        <v>78</v>
      </c>
      <c r="AC55" s="164">
        <v>79</v>
      </c>
      <c r="AD55" s="164">
        <v>80</v>
      </c>
      <c r="AE55" s="164">
        <v>81</v>
      </c>
      <c r="AF55" s="164">
        <v>82</v>
      </c>
      <c r="AG55" s="164">
        <v>84</v>
      </c>
      <c r="AH55" s="164">
        <v>85</v>
      </c>
      <c r="AI55" s="164">
        <v>85</v>
      </c>
      <c r="AJ55" s="164">
        <v>85</v>
      </c>
      <c r="AK55" s="14"/>
      <c r="AL55" s="14"/>
      <c r="AM55" s="14"/>
      <c r="AN55" s="14"/>
      <c r="AO55" s="14"/>
      <c r="AP55" s="14"/>
      <c r="AQ55" s="14"/>
      <c r="AR55" s="14"/>
      <c r="AS55" s="14"/>
      <c r="AT55" s="14"/>
      <c r="AU55" s="14"/>
      <c r="AV55" s="14"/>
    </row>
    <row r="56" spans="1:48">
      <c r="A56" s="1" t="s">
        <v>194</v>
      </c>
      <c r="B56" s="12" t="s">
        <v>205</v>
      </c>
      <c r="C56" t="s">
        <v>206</v>
      </c>
      <c r="E56" s="164">
        <v>748600</v>
      </c>
      <c r="F56" s="164">
        <v>761600</v>
      </c>
      <c r="G56" s="164">
        <v>774700</v>
      </c>
      <c r="H56" s="164">
        <v>788100</v>
      </c>
      <c r="I56" s="164">
        <v>801700</v>
      </c>
      <c r="J56" s="164">
        <v>814500</v>
      </c>
      <c r="K56" s="164">
        <v>827400</v>
      </c>
      <c r="L56" s="164">
        <v>840600</v>
      </c>
      <c r="M56" s="164">
        <v>854000</v>
      </c>
      <c r="N56" s="164">
        <v>867600</v>
      </c>
      <c r="O56" s="164">
        <v>867600</v>
      </c>
      <c r="P56" s="164">
        <v>867600</v>
      </c>
      <c r="Q56" s="164">
        <v>867600</v>
      </c>
      <c r="R56" s="164">
        <v>867600</v>
      </c>
      <c r="S56" s="164">
        <v>867600</v>
      </c>
      <c r="T56" s="164">
        <v>867600</v>
      </c>
      <c r="U56" s="164">
        <v>867600</v>
      </c>
      <c r="V56" s="164">
        <v>867600</v>
      </c>
      <c r="W56" s="164">
        <v>867600</v>
      </c>
      <c r="X56" s="164">
        <v>867600</v>
      </c>
      <c r="Y56" s="164">
        <v>867600</v>
      </c>
      <c r="Z56" s="164">
        <v>867600</v>
      </c>
      <c r="AA56" s="164">
        <v>867600</v>
      </c>
      <c r="AB56" s="164">
        <v>867600</v>
      </c>
      <c r="AC56" s="164">
        <v>867600</v>
      </c>
      <c r="AD56" s="164">
        <v>867600</v>
      </c>
      <c r="AE56" s="164">
        <v>867600</v>
      </c>
      <c r="AF56" s="164">
        <v>867600</v>
      </c>
      <c r="AG56" s="164">
        <v>867600</v>
      </c>
      <c r="AH56" s="164">
        <v>867600</v>
      </c>
      <c r="AI56" s="164">
        <v>867600</v>
      </c>
      <c r="AJ56" s="164">
        <v>867600</v>
      </c>
      <c r="AK56" s="14"/>
      <c r="AL56" s="14"/>
      <c r="AM56" s="14"/>
      <c r="AN56" s="14"/>
      <c r="AO56" s="14"/>
      <c r="AP56" s="14"/>
      <c r="AQ56" s="14"/>
      <c r="AR56" s="14"/>
      <c r="AS56" s="14"/>
      <c r="AT56" s="14"/>
      <c r="AU56" s="14"/>
      <c r="AV56" s="14"/>
    </row>
    <row r="57" spans="1:48">
      <c r="A57" s="1"/>
    </row>
    <row r="58" spans="1:48">
      <c r="A58" s="1"/>
    </row>
    <row r="59" spans="1:48">
      <c r="A59" s="72" t="s">
        <v>209</v>
      </c>
      <c r="B59" t="s">
        <v>173</v>
      </c>
      <c r="C59" t="s">
        <v>198</v>
      </c>
      <c r="E59">
        <v>2021</v>
      </c>
      <c r="F59">
        <f>E59+1</f>
        <v>2022</v>
      </c>
      <c r="G59">
        <f t="shared" ref="G59:AJ59" si="41">F59+1</f>
        <v>2023</v>
      </c>
      <c r="H59">
        <f t="shared" si="41"/>
        <v>2024</v>
      </c>
      <c r="I59">
        <f t="shared" si="41"/>
        <v>2025</v>
      </c>
      <c r="J59">
        <f t="shared" si="41"/>
        <v>2026</v>
      </c>
      <c r="K59">
        <f t="shared" si="41"/>
        <v>2027</v>
      </c>
      <c r="L59">
        <f t="shared" si="41"/>
        <v>2028</v>
      </c>
      <c r="M59">
        <f t="shared" si="41"/>
        <v>2029</v>
      </c>
      <c r="N59">
        <f t="shared" si="41"/>
        <v>2030</v>
      </c>
      <c r="O59">
        <f t="shared" si="41"/>
        <v>2031</v>
      </c>
      <c r="P59">
        <f t="shared" si="41"/>
        <v>2032</v>
      </c>
      <c r="Q59">
        <f t="shared" si="41"/>
        <v>2033</v>
      </c>
      <c r="R59">
        <f t="shared" si="41"/>
        <v>2034</v>
      </c>
      <c r="S59">
        <f t="shared" si="41"/>
        <v>2035</v>
      </c>
      <c r="T59">
        <f t="shared" si="41"/>
        <v>2036</v>
      </c>
      <c r="U59">
        <f t="shared" si="41"/>
        <v>2037</v>
      </c>
      <c r="V59">
        <f t="shared" si="41"/>
        <v>2038</v>
      </c>
      <c r="W59">
        <f t="shared" si="41"/>
        <v>2039</v>
      </c>
      <c r="X59">
        <f t="shared" si="41"/>
        <v>2040</v>
      </c>
      <c r="Y59">
        <f t="shared" si="41"/>
        <v>2041</v>
      </c>
      <c r="Z59">
        <f t="shared" si="41"/>
        <v>2042</v>
      </c>
      <c r="AA59">
        <f t="shared" si="41"/>
        <v>2043</v>
      </c>
      <c r="AB59">
        <f t="shared" si="41"/>
        <v>2044</v>
      </c>
      <c r="AC59">
        <f t="shared" si="41"/>
        <v>2045</v>
      </c>
      <c r="AD59">
        <f t="shared" si="41"/>
        <v>2046</v>
      </c>
      <c r="AE59">
        <f t="shared" si="41"/>
        <v>2047</v>
      </c>
      <c r="AF59">
        <f t="shared" si="41"/>
        <v>2048</v>
      </c>
      <c r="AG59">
        <f t="shared" si="41"/>
        <v>2049</v>
      </c>
      <c r="AH59">
        <f t="shared" si="41"/>
        <v>2050</v>
      </c>
      <c r="AI59">
        <f t="shared" si="41"/>
        <v>2051</v>
      </c>
      <c r="AJ59">
        <f t="shared" si="41"/>
        <v>2052</v>
      </c>
    </row>
    <row r="60" spans="1:48">
      <c r="A60" s="1" t="s">
        <v>210</v>
      </c>
      <c r="B60" s="12" t="s">
        <v>205</v>
      </c>
      <c r="C60" t="s">
        <v>211</v>
      </c>
      <c r="D60" s="24"/>
      <c r="E60" s="24">
        <v>3900</v>
      </c>
      <c r="F60" s="24">
        <f>E60</f>
        <v>3900</v>
      </c>
      <c r="G60" s="24">
        <f t="shared" ref="G60:AJ60" si="42">F60</f>
        <v>3900</v>
      </c>
      <c r="H60" s="24">
        <f t="shared" si="42"/>
        <v>3900</v>
      </c>
      <c r="I60" s="24">
        <f t="shared" si="42"/>
        <v>3900</v>
      </c>
      <c r="J60" s="24">
        <f t="shared" si="42"/>
        <v>3900</v>
      </c>
      <c r="K60" s="24">
        <f t="shared" si="42"/>
        <v>3900</v>
      </c>
      <c r="L60" s="24">
        <f t="shared" si="42"/>
        <v>3900</v>
      </c>
      <c r="M60" s="24">
        <f t="shared" si="42"/>
        <v>3900</v>
      </c>
      <c r="N60" s="24">
        <f t="shared" si="42"/>
        <v>3900</v>
      </c>
      <c r="O60" s="24">
        <f t="shared" si="42"/>
        <v>3900</v>
      </c>
      <c r="P60" s="24">
        <f t="shared" si="42"/>
        <v>3900</v>
      </c>
      <c r="Q60" s="24">
        <f t="shared" si="42"/>
        <v>3900</v>
      </c>
      <c r="R60" s="24">
        <f t="shared" si="42"/>
        <v>3900</v>
      </c>
      <c r="S60" s="24">
        <f t="shared" si="42"/>
        <v>3900</v>
      </c>
      <c r="T60" s="24">
        <f t="shared" si="42"/>
        <v>3900</v>
      </c>
      <c r="U60" s="24">
        <f t="shared" si="42"/>
        <v>3900</v>
      </c>
      <c r="V60" s="24">
        <f t="shared" si="42"/>
        <v>3900</v>
      </c>
      <c r="W60" s="24">
        <f t="shared" si="42"/>
        <v>3900</v>
      </c>
      <c r="X60" s="24">
        <f t="shared" si="42"/>
        <v>3900</v>
      </c>
      <c r="Y60" s="24">
        <f t="shared" si="42"/>
        <v>3900</v>
      </c>
      <c r="Z60" s="24">
        <f t="shared" si="42"/>
        <v>3900</v>
      </c>
      <c r="AA60" s="24">
        <f t="shared" si="42"/>
        <v>3900</v>
      </c>
      <c r="AB60" s="24">
        <f t="shared" si="42"/>
        <v>3900</v>
      </c>
      <c r="AC60" s="24">
        <f t="shared" si="42"/>
        <v>3900</v>
      </c>
      <c r="AD60" s="24">
        <f t="shared" si="42"/>
        <v>3900</v>
      </c>
      <c r="AE60" s="24">
        <f t="shared" si="42"/>
        <v>3900</v>
      </c>
      <c r="AF60" s="24">
        <f t="shared" si="42"/>
        <v>3900</v>
      </c>
      <c r="AG60" s="24">
        <f t="shared" si="42"/>
        <v>3900</v>
      </c>
      <c r="AH60" s="24">
        <f t="shared" si="42"/>
        <v>3900</v>
      </c>
      <c r="AI60" s="24">
        <f t="shared" si="42"/>
        <v>3900</v>
      </c>
      <c r="AJ60" s="24">
        <f t="shared" si="42"/>
        <v>3900</v>
      </c>
      <c r="AK60" s="24"/>
      <c r="AL60" s="24"/>
      <c r="AM60" s="24"/>
      <c r="AN60" s="24"/>
      <c r="AO60" s="24"/>
      <c r="AP60" s="24"/>
      <c r="AQ60" s="24"/>
      <c r="AR60" s="24"/>
      <c r="AS60" s="24"/>
      <c r="AT60" s="24"/>
      <c r="AU60" s="24"/>
    </row>
    <row r="61" spans="1:48">
      <c r="A61" s="1" t="s">
        <v>212</v>
      </c>
      <c r="B61" s="12" t="s">
        <v>205</v>
      </c>
      <c r="C61" t="s">
        <v>211</v>
      </c>
      <c r="D61" s="24"/>
      <c r="E61" s="24">
        <v>77200</v>
      </c>
      <c r="F61" s="24">
        <f>E61</f>
        <v>77200</v>
      </c>
      <c r="G61" s="24">
        <f t="shared" ref="G61:AJ61" si="43">F61</f>
        <v>77200</v>
      </c>
      <c r="H61" s="24">
        <f t="shared" si="43"/>
        <v>77200</v>
      </c>
      <c r="I61" s="24">
        <f t="shared" si="43"/>
        <v>77200</v>
      </c>
      <c r="J61" s="24">
        <f t="shared" si="43"/>
        <v>77200</v>
      </c>
      <c r="K61" s="24">
        <f t="shared" si="43"/>
        <v>77200</v>
      </c>
      <c r="L61" s="24">
        <f t="shared" si="43"/>
        <v>77200</v>
      </c>
      <c r="M61" s="24">
        <f t="shared" si="43"/>
        <v>77200</v>
      </c>
      <c r="N61" s="24">
        <f t="shared" si="43"/>
        <v>77200</v>
      </c>
      <c r="O61" s="24">
        <f t="shared" si="43"/>
        <v>77200</v>
      </c>
      <c r="P61" s="24">
        <f t="shared" si="43"/>
        <v>77200</v>
      </c>
      <c r="Q61" s="24">
        <f t="shared" si="43"/>
        <v>77200</v>
      </c>
      <c r="R61" s="24">
        <f t="shared" si="43"/>
        <v>77200</v>
      </c>
      <c r="S61" s="24">
        <f t="shared" si="43"/>
        <v>77200</v>
      </c>
      <c r="T61" s="24">
        <f t="shared" si="43"/>
        <v>77200</v>
      </c>
      <c r="U61" s="24">
        <f t="shared" si="43"/>
        <v>77200</v>
      </c>
      <c r="V61" s="24">
        <f t="shared" si="43"/>
        <v>77200</v>
      </c>
      <c r="W61" s="24">
        <f t="shared" si="43"/>
        <v>77200</v>
      </c>
      <c r="X61" s="24">
        <f t="shared" si="43"/>
        <v>77200</v>
      </c>
      <c r="Y61" s="24">
        <f t="shared" si="43"/>
        <v>77200</v>
      </c>
      <c r="Z61" s="24">
        <f t="shared" si="43"/>
        <v>77200</v>
      </c>
      <c r="AA61" s="24">
        <f t="shared" si="43"/>
        <v>77200</v>
      </c>
      <c r="AB61" s="24">
        <f t="shared" si="43"/>
        <v>77200</v>
      </c>
      <c r="AC61" s="24">
        <f t="shared" si="43"/>
        <v>77200</v>
      </c>
      <c r="AD61" s="24">
        <f t="shared" si="43"/>
        <v>77200</v>
      </c>
      <c r="AE61" s="24">
        <f t="shared" si="43"/>
        <v>77200</v>
      </c>
      <c r="AF61" s="24">
        <f t="shared" si="43"/>
        <v>77200</v>
      </c>
      <c r="AG61" s="24">
        <f t="shared" si="43"/>
        <v>77200</v>
      </c>
      <c r="AH61" s="24">
        <f t="shared" si="43"/>
        <v>77200</v>
      </c>
      <c r="AI61" s="24">
        <f t="shared" si="43"/>
        <v>77200</v>
      </c>
      <c r="AJ61" s="24">
        <f t="shared" si="43"/>
        <v>77200</v>
      </c>
      <c r="AK61" s="24"/>
      <c r="AL61" s="24"/>
      <c r="AM61" s="24"/>
      <c r="AN61" s="24"/>
      <c r="AO61" s="24"/>
      <c r="AP61" s="24"/>
      <c r="AQ61" s="24"/>
      <c r="AR61" s="24"/>
      <c r="AS61" s="24"/>
      <c r="AT61" s="24"/>
      <c r="AU61" s="24"/>
    </row>
    <row r="62" spans="1:48">
      <c r="A62" s="1" t="s">
        <v>213</v>
      </c>
      <c r="B62" s="12" t="s">
        <v>205</v>
      </c>
      <c r="C62" t="s">
        <v>211</v>
      </c>
      <c r="D62" s="24"/>
      <c r="E62" s="24">
        <v>151100</v>
      </c>
      <c r="F62" s="24">
        <f>E62</f>
        <v>151100</v>
      </c>
      <c r="G62" s="24">
        <f t="shared" ref="G62:AJ62" si="44">F62</f>
        <v>151100</v>
      </c>
      <c r="H62" s="24">
        <f t="shared" si="44"/>
        <v>151100</v>
      </c>
      <c r="I62" s="24">
        <f t="shared" si="44"/>
        <v>151100</v>
      </c>
      <c r="J62" s="24">
        <f t="shared" si="44"/>
        <v>151100</v>
      </c>
      <c r="K62" s="24">
        <f t="shared" si="44"/>
        <v>151100</v>
      </c>
      <c r="L62" s="24">
        <f t="shared" si="44"/>
        <v>151100</v>
      </c>
      <c r="M62" s="24">
        <f t="shared" si="44"/>
        <v>151100</v>
      </c>
      <c r="N62" s="24">
        <f t="shared" si="44"/>
        <v>151100</v>
      </c>
      <c r="O62" s="24">
        <f t="shared" si="44"/>
        <v>151100</v>
      </c>
      <c r="P62" s="24">
        <f t="shared" si="44"/>
        <v>151100</v>
      </c>
      <c r="Q62" s="24">
        <f t="shared" si="44"/>
        <v>151100</v>
      </c>
      <c r="R62" s="24">
        <f t="shared" si="44"/>
        <v>151100</v>
      </c>
      <c r="S62" s="24">
        <f t="shared" si="44"/>
        <v>151100</v>
      </c>
      <c r="T62" s="24">
        <f t="shared" si="44"/>
        <v>151100</v>
      </c>
      <c r="U62" s="24">
        <f t="shared" si="44"/>
        <v>151100</v>
      </c>
      <c r="V62" s="24">
        <f t="shared" si="44"/>
        <v>151100</v>
      </c>
      <c r="W62" s="24">
        <f t="shared" si="44"/>
        <v>151100</v>
      </c>
      <c r="X62" s="24">
        <f t="shared" si="44"/>
        <v>151100</v>
      </c>
      <c r="Y62" s="24">
        <f t="shared" si="44"/>
        <v>151100</v>
      </c>
      <c r="Z62" s="24">
        <f t="shared" si="44"/>
        <v>151100</v>
      </c>
      <c r="AA62" s="24">
        <f t="shared" si="44"/>
        <v>151100</v>
      </c>
      <c r="AB62" s="24">
        <f t="shared" si="44"/>
        <v>151100</v>
      </c>
      <c r="AC62" s="24">
        <f t="shared" si="44"/>
        <v>151100</v>
      </c>
      <c r="AD62" s="24">
        <f t="shared" si="44"/>
        <v>151100</v>
      </c>
      <c r="AE62" s="24">
        <f t="shared" si="44"/>
        <v>151100</v>
      </c>
      <c r="AF62" s="24">
        <f t="shared" si="44"/>
        <v>151100</v>
      </c>
      <c r="AG62" s="24">
        <f t="shared" si="44"/>
        <v>151100</v>
      </c>
      <c r="AH62" s="24">
        <f t="shared" si="44"/>
        <v>151100</v>
      </c>
      <c r="AI62" s="24">
        <f t="shared" si="44"/>
        <v>151100</v>
      </c>
      <c r="AJ62" s="24">
        <f t="shared" si="44"/>
        <v>151100</v>
      </c>
      <c r="AK62" s="24"/>
      <c r="AL62" s="24"/>
      <c r="AM62" s="24"/>
      <c r="AN62" s="24"/>
      <c r="AO62" s="24"/>
      <c r="AP62" s="24"/>
      <c r="AQ62" s="24"/>
      <c r="AR62" s="24"/>
      <c r="AS62" s="24"/>
      <c r="AT62" s="24"/>
      <c r="AU62" s="24"/>
    </row>
    <row r="63" spans="1:48">
      <c r="A63" s="1" t="s">
        <v>214</v>
      </c>
      <c r="B63" s="12" t="s">
        <v>205</v>
      </c>
      <c r="C63" t="s">
        <v>211</v>
      </c>
      <c r="D63" s="24"/>
      <c r="E63" s="24">
        <v>554800</v>
      </c>
      <c r="F63" s="24">
        <f>E63</f>
        <v>554800</v>
      </c>
      <c r="G63" s="24">
        <f t="shared" ref="G63:AJ63" si="45">F63</f>
        <v>554800</v>
      </c>
      <c r="H63" s="24">
        <f t="shared" si="45"/>
        <v>554800</v>
      </c>
      <c r="I63" s="24">
        <f t="shared" si="45"/>
        <v>554800</v>
      </c>
      <c r="J63" s="24">
        <f t="shared" si="45"/>
        <v>554800</v>
      </c>
      <c r="K63" s="24">
        <f t="shared" si="45"/>
        <v>554800</v>
      </c>
      <c r="L63" s="24">
        <f t="shared" si="45"/>
        <v>554800</v>
      </c>
      <c r="M63" s="24">
        <f t="shared" si="45"/>
        <v>554800</v>
      </c>
      <c r="N63" s="24">
        <f t="shared" si="45"/>
        <v>554800</v>
      </c>
      <c r="O63" s="24">
        <f t="shared" si="45"/>
        <v>554800</v>
      </c>
      <c r="P63" s="24">
        <f t="shared" si="45"/>
        <v>554800</v>
      </c>
      <c r="Q63" s="24">
        <f t="shared" si="45"/>
        <v>554800</v>
      </c>
      <c r="R63" s="24">
        <f t="shared" si="45"/>
        <v>554800</v>
      </c>
      <c r="S63" s="24">
        <f t="shared" si="45"/>
        <v>554800</v>
      </c>
      <c r="T63" s="24">
        <f t="shared" si="45"/>
        <v>554800</v>
      </c>
      <c r="U63" s="24">
        <f t="shared" si="45"/>
        <v>554800</v>
      </c>
      <c r="V63" s="24">
        <f t="shared" si="45"/>
        <v>554800</v>
      </c>
      <c r="W63" s="24">
        <f t="shared" si="45"/>
        <v>554800</v>
      </c>
      <c r="X63" s="24">
        <f t="shared" si="45"/>
        <v>554800</v>
      </c>
      <c r="Y63" s="24">
        <f t="shared" si="45"/>
        <v>554800</v>
      </c>
      <c r="Z63" s="24">
        <f t="shared" si="45"/>
        <v>554800</v>
      </c>
      <c r="AA63" s="24">
        <f t="shared" si="45"/>
        <v>554800</v>
      </c>
      <c r="AB63" s="24">
        <f t="shared" si="45"/>
        <v>554800</v>
      </c>
      <c r="AC63" s="24">
        <f t="shared" si="45"/>
        <v>554800</v>
      </c>
      <c r="AD63" s="24">
        <f t="shared" si="45"/>
        <v>554800</v>
      </c>
      <c r="AE63" s="24">
        <f t="shared" si="45"/>
        <v>554800</v>
      </c>
      <c r="AF63" s="24">
        <f t="shared" si="45"/>
        <v>554800</v>
      </c>
      <c r="AG63" s="24">
        <f t="shared" si="45"/>
        <v>554800</v>
      </c>
      <c r="AH63" s="24">
        <f t="shared" si="45"/>
        <v>554800</v>
      </c>
      <c r="AI63" s="24">
        <f t="shared" si="45"/>
        <v>554800</v>
      </c>
      <c r="AJ63" s="24">
        <f t="shared" si="45"/>
        <v>554800</v>
      </c>
      <c r="AK63" s="24"/>
      <c r="AL63" s="24"/>
      <c r="AM63" s="24"/>
      <c r="AN63" s="24"/>
      <c r="AO63" s="24"/>
      <c r="AP63" s="24"/>
      <c r="AQ63" s="24"/>
      <c r="AR63" s="24"/>
      <c r="AS63" s="24"/>
      <c r="AT63" s="24"/>
      <c r="AU63" s="24"/>
    </row>
    <row r="64" spans="1:48">
      <c r="A64" s="1" t="s">
        <v>215</v>
      </c>
      <c r="B64" s="12" t="s">
        <v>205</v>
      </c>
      <c r="C64" t="s">
        <v>211</v>
      </c>
      <c r="D64" s="24"/>
      <c r="E64" s="24">
        <v>11600000</v>
      </c>
      <c r="F64" s="24">
        <v>11600000</v>
      </c>
      <c r="G64" s="24">
        <v>11600000</v>
      </c>
      <c r="H64" s="24">
        <v>11600000</v>
      </c>
      <c r="I64" s="24">
        <v>11600000</v>
      </c>
      <c r="J64" s="24">
        <v>11600000</v>
      </c>
      <c r="K64" s="24">
        <v>11600000</v>
      </c>
      <c r="L64" s="24">
        <v>11600000</v>
      </c>
      <c r="M64" s="24">
        <v>11600000</v>
      </c>
      <c r="N64" s="24">
        <v>11600000</v>
      </c>
      <c r="O64" s="24">
        <v>11600000</v>
      </c>
      <c r="P64" s="24">
        <v>11600000</v>
      </c>
      <c r="Q64" s="24">
        <v>11600000</v>
      </c>
      <c r="R64" s="24">
        <v>11600000</v>
      </c>
      <c r="S64" s="24">
        <v>11600000</v>
      </c>
      <c r="T64" s="24">
        <v>11600000</v>
      </c>
      <c r="U64" s="24">
        <v>11600000</v>
      </c>
      <c r="V64" s="24">
        <v>11600000</v>
      </c>
      <c r="W64" s="24">
        <v>11600000</v>
      </c>
      <c r="X64" s="24">
        <v>11600000</v>
      </c>
      <c r="Y64" s="24">
        <v>11600000</v>
      </c>
      <c r="Z64" s="24">
        <v>11600000</v>
      </c>
      <c r="AA64" s="24">
        <v>11600000</v>
      </c>
      <c r="AB64" s="24">
        <v>11600000</v>
      </c>
      <c r="AC64" s="24">
        <v>11600000</v>
      </c>
      <c r="AD64" s="24">
        <v>11600000</v>
      </c>
      <c r="AE64" s="24">
        <v>11600000</v>
      </c>
      <c r="AF64" s="24">
        <v>11600000</v>
      </c>
      <c r="AG64" s="24">
        <v>11600000</v>
      </c>
      <c r="AH64" s="24">
        <v>11600000</v>
      </c>
      <c r="AI64" s="24">
        <v>11600000</v>
      </c>
      <c r="AJ64" s="24">
        <v>11600000</v>
      </c>
      <c r="AK64" s="24"/>
      <c r="AL64" s="24"/>
      <c r="AM64" s="24"/>
      <c r="AN64" s="24"/>
      <c r="AO64" s="24"/>
      <c r="AP64" s="24"/>
      <c r="AQ64" s="24"/>
      <c r="AR64" s="24"/>
      <c r="AS64" s="24"/>
      <c r="AT64" s="24"/>
      <c r="AU64" s="24"/>
    </row>
    <row r="66" spans="1:48">
      <c r="A66" s="72" t="s">
        <v>216</v>
      </c>
      <c r="E66">
        <v>2021</v>
      </c>
      <c r="F66">
        <f>E66+1</f>
        <v>2022</v>
      </c>
      <c r="G66">
        <f t="shared" ref="G66" si="46">F66+1</f>
        <v>2023</v>
      </c>
      <c r="H66">
        <f t="shared" ref="H66" si="47">G66+1</f>
        <v>2024</v>
      </c>
      <c r="I66">
        <f t="shared" ref="I66" si="48">H66+1</f>
        <v>2025</v>
      </c>
      <c r="J66">
        <f t="shared" ref="J66" si="49">I66+1</f>
        <v>2026</v>
      </c>
      <c r="K66">
        <f t="shared" ref="K66" si="50">J66+1</f>
        <v>2027</v>
      </c>
      <c r="L66">
        <f t="shared" ref="L66" si="51">K66+1</f>
        <v>2028</v>
      </c>
      <c r="M66">
        <f t="shared" ref="M66" si="52">L66+1</f>
        <v>2029</v>
      </c>
      <c r="N66">
        <f t="shared" ref="N66" si="53">M66+1</f>
        <v>2030</v>
      </c>
      <c r="O66">
        <f t="shared" ref="O66" si="54">N66+1</f>
        <v>2031</v>
      </c>
      <c r="P66">
        <f t="shared" ref="P66" si="55">O66+1</f>
        <v>2032</v>
      </c>
      <c r="Q66">
        <f t="shared" ref="Q66" si="56">P66+1</f>
        <v>2033</v>
      </c>
      <c r="R66">
        <f t="shared" ref="R66" si="57">Q66+1</f>
        <v>2034</v>
      </c>
      <c r="S66">
        <f t="shared" ref="S66" si="58">R66+1</f>
        <v>2035</v>
      </c>
      <c r="T66">
        <f t="shared" ref="T66" si="59">S66+1</f>
        <v>2036</v>
      </c>
      <c r="U66">
        <f t="shared" ref="U66" si="60">T66+1</f>
        <v>2037</v>
      </c>
      <c r="V66">
        <f t="shared" ref="V66" si="61">U66+1</f>
        <v>2038</v>
      </c>
      <c r="W66">
        <f t="shared" ref="W66" si="62">V66+1</f>
        <v>2039</v>
      </c>
      <c r="X66">
        <f t="shared" ref="X66" si="63">W66+1</f>
        <v>2040</v>
      </c>
      <c r="Y66">
        <f t="shared" ref="Y66" si="64">X66+1</f>
        <v>2041</v>
      </c>
      <c r="Z66">
        <f t="shared" ref="Z66" si="65">Y66+1</f>
        <v>2042</v>
      </c>
      <c r="AA66">
        <f t="shared" ref="AA66" si="66">Z66+1</f>
        <v>2043</v>
      </c>
      <c r="AB66">
        <f t="shared" ref="AB66" si="67">AA66+1</f>
        <v>2044</v>
      </c>
      <c r="AC66">
        <f t="shared" ref="AC66" si="68">AB66+1</f>
        <v>2045</v>
      </c>
      <c r="AD66">
        <f t="shared" ref="AD66" si="69">AC66+1</f>
        <v>2046</v>
      </c>
      <c r="AE66">
        <f t="shared" ref="AE66" si="70">AD66+1</f>
        <v>2047</v>
      </c>
      <c r="AF66">
        <f t="shared" ref="AF66" si="71">AE66+1</f>
        <v>2048</v>
      </c>
      <c r="AG66">
        <f t="shared" ref="AG66" si="72">AF66+1</f>
        <v>2049</v>
      </c>
      <c r="AH66">
        <f t="shared" ref="AH66" si="73">AG66+1</f>
        <v>2050</v>
      </c>
      <c r="AI66">
        <f t="shared" ref="AI66" si="74">AH66+1</f>
        <v>2051</v>
      </c>
      <c r="AJ66">
        <f t="shared" ref="AJ66" si="75">AI66+1</f>
        <v>2052</v>
      </c>
    </row>
    <row r="67" spans="1:48">
      <c r="A67" s="1" t="s">
        <v>217</v>
      </c>
      <c r="B67" s="12" t="s">
        <v>205</v>
      </c>
      <c r="D67" s="6"/>
      <c r="E67" s="6">
        <v>17.8</v>
      </c>
      <c r="F67" s="6">
        <f>E67</f>
        <v>17.8</v>
      </c>
      <c r="G67" s="6">
        <f t="shared" ref="G67:AV68" si="76">F67</f>
        <v>17.8</v>
      </c>
      <c r="H67" s="6">
        <f t="shared" si="76"/>
        <v>17.8</v>
      </c>
      <c r="I67" s="6">
        <f t="shared" si="76"/>
        <v>17.8</v>
      </c>
      <c r="J67" s="6">
        <f t="shared" si="76"/>
        <v>17.8</v>
      </c>
      <c r="K67" s="6">
        <f t="shared" si="76"/>
        <v>17.8</v>
      </c>
      <c r="L67" s="6">
        <f t="shared" si="76"/>
        <v>17.8</v>
      </c>
      <c r="M67" s="6">
        <f t="shared" si="76"/>
        <v>17.8</v>
      </c>
      <c r="N67" s="6">
        <f t="shared" si="76"/>
        <v>17.8</v>
      </c>
      <c r="O67" s="6">
        <f t="shared" si="76"/>
        <v>17.8</v>
      </c>
      <c r="P67" s="6">
        <f t="shared" si="76"/>
        <v>17.8</v>
      </c>
      <c r="Q67" s="6">
        <f t="shared" si="76"/>
        <v>17.8</v>
      </c>
      <c r="R67" s="6">
        <f t="shared" si="76"/>
        <v>17.8</v>
      </c>
      <c r="S67" s="6">
        <f t="shared" si="76"/>
        <v>17.8</v>
      </c>
      <c r="T67" s="6">
        <f t="shared" si="76"/>
        <v>17.8</v>
      </c>
      <c r="U67" s="6">
        <f t="shared" si="76"/>
        <v>17.8</v>
      </c>
      <c r="V67" s="6">
        <f t="shared" si="76"/>
        <v>17.8</v>
      </c>
      <c r="W67" s="6">
        <f t="shared" si="76"/>
        <v>17.8</v>
      </c>
      <c r="X67" s="6">
        <f t="shared" si="76"/>
        <v>17.8</v>
      </c>
      <c r="Y67" s="6">
        <f t="shared" si="76"/>
        <v>17.8</v>
      </c>
      <c r="Z67" s="6">
        <f t="shared" si="76"/>
        <v>17.8</v>
      </c>
      <c r="AA67" s="6">
        <f t="shared" si="76"/>
        <v>17.8</v>
      </c>
      <c r="AB67" s="6">
        <f t="shared" si="76"/>
        <v>17.8</v>
      </c>
      <c r="AC67" s="6">
        <f t="shared" si="76"/>
        <v>17.8</v>
      </c>
      <c r="AD67" s="6">
        <f t="shared" si="76"/>
        <v>17.8</v>
      </c>
      <c r="AE67" s="6">
        <f t="shared" si="76"/>
        <v>17.8</v>
      </c>
      <c r="AF67" s="6">
        <f t="shared" si="76"/>
        <v>17.8</v>
      </c>
      <c r="AG67" s="6">
        <f t="shared" si="76"/>
        <v>17.8</v>
      </c>
      <c r="AH67" s="6">
        <f t="shared" si="76"/>
        <v>17.8</v>
      </c>
      <c r="AI67" s="6">
        <f t="shared" si="76"/>
        <v>17.8</v>
      </c>
      <c r="AJ67" s="6">
        <f t="shared" si="76"/>
        <v>17.8</v>
      </c>
      <c r="AK67" s="6"/>
      <c r="AL67" s="6"/>
      <c r="AM67" s="6"/>
      <c r="AN67" s="6"/>
      <c r="AO67" s="6"/>
      <c r="AP67" s="6"/>
      <c r="AQ67" s="6"/>
      <c r="AR67" s="6"/>
      <c r="AS67" s="6"/>
      <c r="AT67" s="6"/>
      <c r="AU67" s="6"/>
      <c r="AV67" s="6">
        <f t="shared" si="76"/>
        <v>0</v>
      </c>
    </row>
    <row r="68" spans="1:48">
      <c r="A68" s="1" t="s">
        <v>218</v>
      </c>
      <c r="B68" s="12" t="s">
        <v>205</v>
      </c>
      <c r="D68" s="6"/>
      <c r="E68" s="6">
        <v>32</v>
      </c>
      <c r="F68" s="6">
        <f>E68</f>
        <v>32</v>
      </c>
      <c r="G68" s="6">
        <f t="shared" ref="G68:T68" si="77">F68</f>
        <v>32</v>
      </c>
      <c r="H68" s="6">
        <f t="shared" si="77"/>
        <v>32</v>
      </c>
      <c r="I68" s="6">
        <f t="shared" si="77"/>
        <v>32</v>
      </c>
      <c r="J68" s="6">
        <f t="shared" si="77"/>
        <v>32</v>
      </c>
      <c r="K68" s="6">
        <f t="shared" si="77"/>
        <v>32</v>
      </c>
      <c r="L68" s="6">
        <f t="shared" si="77"/>
        <v>32</v>
      </c>
      <c r="M68" s="6">
        <f t="shared" si="77"/>
        <v>32</v>
      </c>
      <c r="N68" s="6">
        <f t="shared" si="77"/>
        <v>32</v>
      </c>
      <c r="O68" s="6">
        <f t="shared" si="77"/>
        <v>32</v>
      </c>
      <c r="P68" s="6">
        <f t="shared" si="77"/>
        <v>32</v>
      </c>
      <c r="Q68" s="6">
        <f t="shared" si="77"/>
        <v>32</v>
      </c>
      <c r="R68" s="6">
        <f t="shared" si="77"/>
        <v>32</v>
      </c>
      <c r="S68" s="6">
        <f t="shared" si="77"/>
        <v>32</v>
      </c>
      <c r="T68" s="6">
        <f t="shared" si="77"/>
        <v>32</v>
      </c>
      <c r="U68" s="6">
        <f t="shared" si="76"/>
        <v>32</v>
      </c>
      <c r="V68" s="6">
        <f t="shared" si="76"/>
        <v>32</v>
      </c>
      <c r="W68" s="6">
        <f t="shared" si="76"/>
        <v>32</v>
      </c>
      <c r="X68" s="6">
        <f t="shared" si="76"/>
        <v>32</v>
      </c>
      <c r="Y68" s="6">
        <f t="shared" si="76"/>
        <v>32</v>
      </c>
      <c r="Z68" s="6">
        <f t="shared" si="76"/>
        <v>32</v>
      </c>
      <c r="AA68" s="6">
        <f t="shared" si="76"/>
        <v>32</v>
      </c>
      <c r="AB68" s="6">
        <f t="shared" si="76"/>
        <v>32</v>
      </c>
      <c r="AC68" s="6">
        <f t="shared" si="76"/>
        <v>32</v>
      </c>
      <c r="AD68" s="6">
        <f t="shared" si="76"/>
        <v>32</v>
      </c>
      <c r="AE68" s="6">
        <f t="shared" si="76"/>
        <v>32</v>
      </c>
      <c r="AF68" s="6">
        <f t="shared" si="76"/>
        <v>32</v>
      </c>
      <c r="AG68" s="6">
        <f t="shared" si="76"/>
        <v>32</v>
      </c>
      <c r="AH68" s="6">
        <f t="shared" si="76"/>
        <v>32</v>
      </c>
      <c r="AI68" s="6">
        <f t="shared" si="76"/>
        <v>32</v>
      </c>
      <c r="AJ68" s="6">
        <f t="shared" si="76"/>
        <v>32</v>
      </c>
      <c r="AK68" s="6"/>
      <c r="AL68" s="6"/>
      <c r="AM68" s="6"/>
      <c r="AN68" s="6"/>
      <c r="AO68" s="6"/>
      <c r="AP68" s="6"/>
      <c r="AQ68" s="6"/>
      <c r="AR68" s="6"/>
      <c r="AS68" s="6"/>
      <c r="AT68" s="6"/>
      <c r="AU68" s="6"/>
      <c r="AV68" s="6">
        <f t="shared" si="76"/>
        <v>0</v>
      </c>
    </row>
    <row r="69" spans="1:48">
      <c r="A69" s="16" t="s">
        <v>265</v>
      </c>
    </row>
    <row r="70" spans="1:48" ht="30">
      <c r="A70" s="77" t="s">
        <v>55</v>
      </c>
      <c r="B70" s="34" t="s">
        <v>56</v>
      </c>
      <c r="C70" s="203">
        <f>123.615/113.346</f>
        <v>1.0905986977925997</v>
      </c>
    </row>
    <row r="71" spans="1:48">
      <c r="A71" s="77"/>
      <c r="B71" s="34"/>
      <c r="C71" s="203"/>
    </row>
    <row r="72" spans="1:48">
      <c r="A72" s="223" t="s">
        <v>268</v>
      </c>
      <c r="B72" s="34"/>
      <c r="C72" s="203"/>
    </row>
    <row r="73" spans="1:48">
      <c r="A73" s="77"/>
      <c r="B73" s="34"/>
      <c r="C73" s="203"/>
    </row>
    <row r="74" spans="1:48">
      <c r="A74" s="16" t="s">
        <v>266</v>
      </c>
      <c r="B74" s="294" t="s">
        <v>267</v>
      </c>
    </row>
    <row r="75" spans="1:48">
      <c r="A75" s="1">
        <v>2009</v>
      </c>
      <c r="B75" s="2"/>
      <c r="C75" s="295">
        <v>94.975999999999999</v>
      </c>
    </row>
    <row r="76" spans="1:48">
      <c r="A76" s="1">
        <v>2012</v>
      </c>
      <c r="B76" s="2"/>
      <c r="C76" s="295">
        <v>100</v>
      </c>
    </row>
    <row r="77" spans="1:48">
      <c r="A77" s="1">
        <v>2019</v>
      </c>
      <c r="B77" s="2"/>
      <c r="C77" s="295">
        <v>111.42400000000001</v>
      </c>
    </row>
    <row r="78" spans="1:48">
      <c r="A78" s="1" t="s">
        <v>264</v>
      </c>
      <c r="B78" s="2"/>
      <c r="C78" s="295">
        <f>C77/C75</f>
        <v>1.1731805929919139</v>
      </c>
    </row>
    <row r="79" spans="1:48">
      <c r="A79" s="1"/>
      <c r="B79" s="2"/>
    </row>
    <row r="80" spans="1:48" ht="15.75" hidden="1" thickBot="1">
      <c r="A80" s="16" t="s">
        <v>219</v>
      </c>
    </row>
    <row r="81" spans="1:7" ht="15.75" hidden="1" thickBot="1">
      <c r="A81" s="169" t="s">
        <v>220</v>
      </c>
      <c r="B81" s="170" t="s">
        <v>221</v>
      </c>
      <c r="C81" s="170" t="s">
        <v>222</v>
      </c>
      <c r="D81" s="170" t="s">
        <v>223</v>
      </c>
      <c r="E81" s="170" t="s">
        <v>224</v>
      </c>
      <c r="F81" s="171" t="s">
        <v>21</v>
      </c>
    </row>
    <row r="82" spans="1:7" hidden="1">
      <c r="A82" s="76" t="s">
        <v>80</v>
      </c>
      <c r="B82" s="172">
        <v>9.3999999999999998E-9</v>
      </c>
      <c r="C82" s="172">
        <v>2.1999999999999998E-9</v>
      </c>
      <c r="D82" s="172">
        <v>2.23E-7</v>
      </c>
      <c r="E82" s="172">
        <v>2.1749999999999998E-7</v>
      </c>
      <c r="F82" s="173">
        <v>4.0006814400000003E-4</v>
      </c>
    </row>
    <row r="83" spans="1:7" hidden="1">
      <c r="A83" s="174" t="s">
        <v>85</v>
      </c>
      <c r="B83" s="175">
        <v>3.4099999999999994E-8</v>
      </c>
      <c r="C83" s="175">
        <v>3.4999999999999999E-9</v>
      </c>
      <c r="D83" s="175">
        <v>2.6029999999999997E-7</v>
      </c>
      <c r="E83" s="175">
        <v>1.0682E-6</v>
      </c>
      <c r="F83" s="176">
        <v>1.3564215167999997E-3</v>
      </c>
    </row>
    <row r="84" spans="1:7" ht="15.75" hidden="1" thickBot="1">
      <c r="A84" s="81" t="s">
        <v>86</v>
      </c>
      <c r="B84" s="177">
        <v>8.3900000000000004E-8</v>
      </c>
      <c r="C84" s="177">
        <v>5.4999999999999996E-9</v>
      </c>
      <c r="D84" s="177">
        <v>1.825E-7</v>
      </c>
      <c r="E84" s="177">
        <v>3.9024000000000001E-6</v>
      </c>
      <c r="F84" s="178">
        <v>1.6795241702399998E-3</v>
      </c>
    </row>
    <row r="85" spans="1:7" hidden="1">
      <c r="A85" t="s">
        <v>225</v>
      </c>
    </row>
    <row r="87" spans="1:7" ht="15.75" thickBot="1">
      <c r="A87" s="16" t="s">
        <v>337</v>
      </c>
    </row>
    <row r="88" spans="1:7" ht="45">
      <c r="A88" s="376" t="s">
        <v>326</v>
      </c>
      <c r="B88" s="377" t="s">
        <v>327</v>
      </c>
      <c r="C88" s="377" t="s">
        <v>328</v>
      </c>
      <c r="D88" s="377" t="s">
        <v>329</v>
      </c>
      <c r="E88" s="382" t="s">
        <v>330</v>
      </c>
      <c r="F88" s="377" t="s">
        <v>331</v>
      </c>
      <c r="G88" s="385" t="s">
        <v>332</v>
      </c>
    </row>
    <row r="89" spans="1:7" ht="18">
      <c r="A89" s="378" t="s">
        <v>333</v>
      </c>
      <c r="B89" s="379">
        <v>11275.447404570192</v>
      </c>
      <c r="C89" s="379">
        <f>B89/'[1]Look Up'!$B$15</f>
        <v>1.1275447404570193E-2</v>
      </c>
      <c r="D89" s="379">
        <v>8830.45502606833</v>
      </c>
      <c r="E89" s="383">
        <f>D89/'[1]Look Up'!$B$15</f>
        <v>8.8304550260683307E-3</v>
      </c>
      <c r="F89" s="379">
        <v>7708.8482559763288</v>
      </c>
      <c r="G89" s="386">
        <f>F89/'[1]Look Up'!$B$15</f>
        <v>7.7088482559763286E-3</v>
      </c>
    </row>
    <row r="90" spans="1:7">
      <c r="A90" s="378" t="s">
        <v>334</v>
      </c>
      <c r="B90" s="379">
        <v>3.7213921169520545</v>
      </c>
      <c r="C90" s="379">
        <f>B90/'[1]Look Up'!$B$15</f>
        <v>3.7213921169520547E-6</v>
      </c>
      <c r="D90" s="379">
        <v>1.2345206551242083</v>
      </c>
      <c r="E90" s="383">
        <f>D90/'[1]Look Up'!$B$15</f>
        <v>1.2345206551242083E-6</v>
      </c>
      <c r="F90" s="379">
        <v>0.81779423577067945</v>
      </c>
      <c r="G90" s="386">
        <f>F90/'[1]Look Up'!$B$15</f>
        <v>8.1779423577067947E-7</v>
      </c>
    </row>
    <row r="91" spans="1:7">
      <c r="A91" s="378" t="s">
        <v>69</v>
      </c>
      <c r="B91" s="379">
        <v>8.9937854070367944</v>
      </c>
      <c r="C91" s="379">
        <f>B91/'[1]Look Up'!$B$15</f>
        <v>8.9937854070367946E-6</v>
      </c>
      <c r="D91" s="379">
        <v>1.5445023852016495</v>
      </c>
      <c r="E91" s="383">
        <f>D91/'[1]Look Up'!$B$15</f>
        <v>1.5445023852016496E-6</v>
      </c>
      <c r="F91" s="379">
        <v>0.25233853999419642</v>
      </c>
      <c r="G91" s="386">
        <f>F91/'[1]Look Up'!$B$15</f>
        <v>2.5233853999419644E-7</v>
      </c>
    </row>
    <row r="92" spans="1:7">
      <c r="A92" s="378" t="s">
        <v>194</v>
      </c>
      <c r="B92" s="379">
        <v>0.12886406705904768</v>
      </c>
      <c r="C92" s="379">
        <f>B92/'[1]Look Up'!$B$15</f>
        <v>1.2886406705904769E-7</v>
      </c>
      <c r="D92" s="379">
        <v>5.5327868083124933E-2</v>
      </c>
      <c r="E92" s="383">
        <f>D92/'[1]Look Up'!$B$15</f>
        <v>5.532786808312493E-8</v>
      </c>
      <c r="F92" s="379">
        <v>3.3519149056169588E-2</v>
      </c>
      <c r="G92" s="386">
        <f>F92/'[1]Look Up'!$B$15</f>
        <v>3.3519149056169589E-8</v>
      </c>
    </row>
    <row r="93" spans="1:7" ht="15.75" thickBot="1">
      <c r="A93" s="380" t="s">
        <v>222</v>
      </c>
      <c r="B93" s="381">
        <v>0.11884531699638028</v>
      </c>
      <c r="C93" s="381">
        <f>B93/'[1]Look Up'!$B$15</f>
        <v>1.1884531699638027E-7</v>
      </c>
      <c r="D93" s="381">
        <v>5.7156236934076982E-2</v>
      </c>
      <c r="E93" s="384">
        <f>D93/'[1]Look Up'!$B$15</f>
        <v>5.7156236934076979E-8</v>
      </c>
      <c r="F93" s="381">
        <v>4.9688573697553973E-2</v>
      </c>
      <c r="G93" s="387">
        <f>F93/'[1]Look Up'!$B$15</f>
        <v>4.9688573697553975E-8</v>
      </c>
    </row>
    <row r="94" spans="1:7">
      <c r="A94" s="27" t="s">
        <v>335</v>
      </c>
    </row>
    <row r="95" spans="1:7">
      <c r="A95" s="25" t="s">
        <v>88</v>
      </c>
    </row>
    <row r="96" spans="1:7">
      <c r="A96" s="26" t="s">
        <v>89</v>
      </c>
    </row>
  </sheetData>
  <phoneticPr fontId="12" type="noConversion"/>
  <hyperlinks>
    <hyperlink ref="A95" r:id="rId1" xr:uid="{311AC0F9-7DBC-4A40-83A7-005EF81B4AB1}"/>
    <hyperlink ref="A96" r:id="rId2" xr:uid="{969CA919-37FA-45F4-B156-1A60461B6F98}"/>
  </hyperlinks>
  <pageMargins left="0.7" right="0.7" top="0.75" bottom="0.75" header="0.3" footer="0.3"/>
  <pageSetup paperSize="3" orientation="landscape" r:id="rId3"/>
  <legacy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6CCC-855B-4F77-8948-5C6EEB6C5C79}">
  <sheetPr>
    <tabColor rgb="FFFFC000"/>
  </sheetPr>
  <dimension ref="A1:D8"/>
  <sheetViews>
    <sheetView zoomScale="75" zoomScaleNormal="75" workbookViewId="0">
      <selection activeCell="K15" sqref="K15"/>
    </sheetView>
  </sheetViews>
  <sheetFormatPr defaultRowHeight="15"/>
  <cols>
    <col min="1" max="1" width="23.7109375" bestFit="1" customWidth="1"/>
    <col min="2" max="2" width="25.7109375" customWidth="1"/>
    <col min="3" max="3" width="13.85546875" customWidth="1"/>
  </cols>
  <sheetData>
    <row r="1" spans="1:4">
      <c r="A1" s="16" t="s">
        <v>226</v>
      </c>
    </row>
    <row r="3" spans="1:4">
      <c r="A3" s="207"/>
      <c r="B3" s="2"/>
      <c r="C3" s="2"/>
      <c r="D3" s="209"/>
    </row>
    <row r="4" spans="1:4">
      <c r="A4" s="207"/>
      <c r="B4" s="2"/>
      <c r="C4" s="2"/>
      <c r="D4" s="209"/>
    </row>
    <row r="5" spans="1:4">
      <c r="A5" s="207"/>
      <c r="B5" s="2"/>
      <c r="C5" s="2"/>
      <c r="D5" s="209"/>
    </row>
    <row r="6" spans="1:4">
      <c r="A6" s="207"/>
      <c r="B6" s="2"/>
      <c r="C6" s="2"/>
      <c r="D6" s="209"/>
    </row>
    <row r="7" spans="1:4">
      <c r="B7" s="2"/>
      <c r="C7" s="2"/>
      <c r="D7" s="2"/>
    </row>
    <row r="8" spans="1:4">
      <c r="B8" s="208"/>
    </row>
  </sheetData>
  <pageMargins left="0.7" right="0.7" top="0.75" bottom="0.75" header="0.3" footer="0.3"/>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5B8F-AE7B-4BD4-8F55-B390F241D608}">
  <sheetPr>
    <tabColor theme="4" tint="0.59999389629810485"/>
  </sheetPr>
  <dimension ref="A1:AA19"/>
  <sheetViews>
    <sheetView zoomScale="77" zoomScaleNormal="77" workbookViewId="0">
      <selection activeCell="A29" sqref="A29"/>
    </sheetView>
  </sheetViews>
  <sheetFormatPr defaultRowHeight="15"/>
  <cols>
    <col min="1" max="1" width="50.5703125" customWidth="1"/>
    <col min="2" max="2" width="15.5703125" customWidth="1"/>
    <col min="3" max="27" width="12.5703125" customWidth="1"/>
  </cols>
  <sheetData>
    <row r="1" spans="1:27">
      <c r="A1" s="17" t="s">
        <v>1</v>
      </c>
      <c r="B1" s="17"/>
      <c r="C1">
        <v>2019</v>
      </c>
      <c r="D1">
        <f>C1+1</f>
        <v>2020</v>
      </c>
      <c r="E1">
        <f t="shared" ref="E1:T2" si="0">D1+1</f>
        <v>2021</v>
      </c>
      <c r="F1">
        <f t="shared" si="0"/>
        <v>2022</v>
      </c>
      <c r="G1">
        <f t="shared" si="0"/>
        <v>2023</v>
      </c>
      <c r="H1">
        <f t="shared" si="0"/>
        <v>2024</v>
      </c>
      <c r="I1">
        <f t="shared" si="0"/>
        <v>2025</v>
      </c>
      <c r="J1">
        <f t="shared" si="0"/>
        <v>2026</v>
      </c>
      <c r="K1">
        <f t="shared" si="0"/>
        <v>2027</v>
      </c>
      <c r="L1">
        <f t="shared" si="0"/>
        <v>2028</v>
      </c>
      <c r="M1">
        <f t="shared" si="0"/>
        <v>2029</v>
      </c>
      <c r="N1">
        <f t="shared" si="0"/>
        <v>2030</v>
      </c>
      <c r="O1">
        <f t="shared" si="0"/>
        <v>2031</v>
      </c>
      <c r="P1">
        <f t="shared" si="0"/>
        <v>2032</v>
      </c>
      <c r="Q1">
        <f t="shared" si="0"/>
        <v>2033</v>
      </c>
      <c r="R1">
        <f t="shared" si="0"/>
        <v>2034</v>
      </c>
      <c r="S1">
        <f t="shared" si="0"/>
        <v>2035</v>
      </c>
      <c r="T1">
        <f t="shared" si="0"/>
        <v>2036</v>
      </c>
      <c r="U1">
        <f t="shared" ref="U1:AA2" si="1">T1+1</f>
        <v>2037</v>
      </c>
      <c r="V1">
        <f t="shared" si="1"/>
        <v>2038</v>
      </c>
      <c r="W1">
        <f t="shared" si="1"/>
        <v>2039</v>
      </c>
      <c r="X1">
        <f t="shared" si="1"/>
        <v>2040</v>
      </c>
      <c r="Y1">
        <f t="shared" si="1"/>
        <v>2041</v>
      </c>
      <c r="Z1">
        <f t="shared" si="1"/>
        <v>2042</v>
      </c>
      <c r="AA1">
        <f t="shared" si="1"/>
        <v>2043</v>
      </c>
    </row>
    <row r="2" spans="1:27">
      <c r="A2" s="33" t="s">
        <v>36</v>
      </c>
      <c r="B2" s="33"/>
      <c r="C2" t="s">
        <v>4</v>
      </c>
      <c r="D2" t="s">
        <v>4</v>
      </c>
      <c r="E2" t="s">
        <v>4</v>
      </c>
      <c r="F2" t="s">
        <v>4</v>
      </c>
      <c r="G2" t="s">
        <v>4</v>
      </c>
      <c r="H2">
        <v>1</v>
      </c>
      <c r="I2">
        <f t="shared" si="0"/>
        <v>2</v>
      </c>
      <c r="J2">
        <f t="shared" si="0"/>
        <v>3</v>
      </c>
      <c r="K2">
        <f>J2+1</f>
        <v>4</v>
      </c>
      <c r="L2">
        <f t="shared" si="0"/>
        <v>5</v>
      </c>
      <c r="M2">
        <f t="shared" si="0"/>
        <v>6</v>
      </c>
      <c r="N2">
        <f t="shared" si="0"/>
        <v>7</v>
      </c>
      <c r="O2">
        <f t="shared" si="0"/>
        <v>8</v>
      </c>
      <c r="P2">
        <f t="shared" si="0"/>
        <v>9</v>
      </c>
      <c r="Q2">
        <f t="shared" si="0"/>
        <v>10</v>
      </c>
      <c r="R2">
        <f t="shared" si="0"/>
        <v>11</v>
      </c>
      <c r="S2">
        <f t="shared" si="0"/>
        <v>12</v>
      </c>
      <c r="T2">
        <f t="shared" si="0"/>
        <v>13</v>
      </c>
      <c r="U2">
        <f t="shared" si="1"/>
        <v>14</v>
      </c>
      <c r="V2">
        <f t="shared" si="1"/>
        <v>15</v>
      </c>
      <c r="W2">
        <f t="shared" si="1"/>
        <v>16</v>
      </c>
      <c r="X2">
        <f t="shared" si="1"/>
        <v>17</v>
      </c>
      <c r="Y2">
        <f t="shared" si="1"/>
        <v>18</v>
      </c>
      <c r="Z2">
        <f t="shared" si="1"/>
        <v>19</v>
      </c>
      <c r="AA2">
        <f t="shared" si="1"/>
        <v>20</v>
      </c>
    </row>
    <row r="3" spans="1:27">
      <c r="A3" s="33" t="s">
        <v>5</v>
      </c>
      <c r="B3" s="33"/>
      <c r="C3">
        <v>0</v>
      </c>
      <c r="D3">
        <v>1</v>
      </c>
      <c r="E3">
        <f t="shared" ref="E3:AA3" si="2">D3+1</f>
        <v>2</v>
      </c>
      <c r="F3">
        <f t="shared" si="2"/>
        <v>3</v>
      </c>
      <c r="G3">
        <f t="shared" si="2"/>
        <v>4</v>
      </c>
      <c r="H3">
        <f t="shared" si="2"/>
        <v>5</v>
      </c>
      <c r="I3">
        <f t="shared" si="2"/>
        <v>6</v>
      </c>
      <c r="J3">
        <f t="shared" si="2"/>
        <v>7</v>
      </c>
      <c r="K3">
        <f t="shared" si="2"/>
        <v>8</v>
      </c>
      <c r="L3">
        <f t="shared" si="2"/>
        <v>9</v>
      </c>
      <c r="M3">
        <f t="shared" si="2"/>
        <v>10</v>
      </c>
      <c r="N3">
        <f t="shared" si="2"/>
        <v>11</v>
      </c>
      <c r="O3">
        <f t="shared" si="2"/>
        <v>12</v>
      </c>
      <c r="P3">
        <f t="shared" si="2"/>
        <v>13</v>
      </c>
      <c r="Q3">
        <f t="shared" si="2"/>
        <v>14</v>
      </c>
      <c r="R3">
        <f t="shared" si="2"/>
        <v>15</v>
      </c>
      <c r="S3">
        <f t="shared" si="2"/>
        <v>16</v>
      </c>
      <c r="T3">
        <f t="shared" si="2"/>
        <v>17</v>
      </c>
      <c r="U3">
        <f t="shared" si="2"/>
        <v>18</v>
      </c>
      <c r="V3">
        <f t="shared" si="2"/>
        <v>19</v>
      </c>
      <c r="W3">
        <f t="shared" si="2"/>
        <v>20</v>
      </c>
      <c r="X3">
        <f t="shared" si="2"/>
        <v>21</v>
      </c>
      <c r="Y3">
        <f t="shared" si="2"/>
        <v>22</v>
      </c>
      <c r="Z3">
        <f t="shared" si="2"/>
        <v>23</v>
      </c>
      <c r="AA3">
        <f t="shared" si="2"/>
        <v>24</v>
      </c>
    </row>
    <row r="4" spans="1:27">
      <c r="A4" s="33" t="s">
        <v>37</v>
      </c>
      <c r="B4" s="33"/>
      <c r="C4" s="3">
        <f>(1+0.02)^C3</f>
        <v>1</v>
      </c>
      <c r="D4" s="3">
        <f t="shared" ref="D4:AA4" si="3">(1+0.02)^D3</f>
        <v>1.02</v>
      </c>
      <c r="E4" s="3">
        <f t="shared" si="3"/>
        <v>1.0404</v>
      </c>
      <c r="F4" s="3">
        <f t="shared" si="3"/>
        <v>1.0612079999999999</v>
      </c>
      <c r="G4" s="3">
        <f t="shared" si="3"/>
        <v>1.08243216</v>
      </c>
      <c r="H4" s="3">
        <f t="shared" si="3"/>
        <v>1.1040808032</v>
      </c>
      <c r="I4" s="3">
        <f t="shared" si="3"/>
        <v>1.1261624192640001</v>
      </c>
      <c r="J4" s="3">
        <f t="shared" si="3"/>
        <v>1.1486856676492798</v>
      </c>
      <c r="K4" s="3">
        <f t="shared" si="3"/>
        <v>1.1716593810022655</v>
      </c>
      <c r="L4" s="3">
        <f t="shared" si="3"/>
        <v>1.1950925686223108</v>
      </c>
      <c r="M4" s="3">
        <f t="shared" si="3"/>
        <v>1.2189944199947571</v>
      </c>
      <c r="N4" s="3">
        <f t="shared" si="3"/>
        <v>1.243374308394652</v>
      </c>
      <c r="O4" s="3">
        <f t="shared" si="3"/>
        <v>1.2682417945625453</v>
      </c>
      <c r="P4" s="3">
        <f t="shared" si="3"/>
        <v>1.2936066304537961</v>
      </c>
      <c r="Q4" s="3">
        <f t="shared" si="3"/>
        <v>1.3194787630628722</v>
      </c>
      <c r="R4" s="3">
        <f t="shared" si="3"/>
        <v>1.3458683383241292</v>
      </c>
      <c r="S4" s="3">
        <f t="shared" si="3"/>
        <v>1.372785705090612</v>
      </c>
      <c r="T4" s="3">
        <f t="shared" si="3"/>
        <v>1.4002414191924244</v>
      </c>
      <c r="U4" s="3">
        <f t="shared" si="3"/>
        <v>1.4282462475762727</v>
      </c>
      <c r="V4" s="3">
        <f t="shared" si="3"/>
        <v>1.4568111725277981</v>
      </c>
      <c r="W4" s="3">
        <f t="shared" si="3"/>
        <v>1.4859473959783542</v>
      </c>
      <c r="X4" s="3">
        <f t="shared" si="3"/>
        <v>1.5156663438979212</v>
      </c>
      <c r="Y4" s="3">
        <f t="shared" si="3"/>
        <v>1.5459796707758797</v>
      </c>
      <c r="Z4" s="3">
        <f t="shared" si="3"/>
        <v>1.576899264191397</v>
      </c>
      <c r="AA4" s="3">
        <f t="shared" si="3"/>
        <v>1.608437249475225</v>
      </c>
    </row>
    <row r="5" spans="1:27">
      <c r="C5" s="3"/>
      <c r="D5" s="3"/>
      <c r="E5" s="3"/>
      <c r="F5" s="3"/>
      <c r="G5" s="3"/>
      <c r="H5" s="3"/>
      <c r="I5" s="3"/>
      <c r="J5" s="3"/>
      <c r="K5" s="3"/>
      <c r="L5" s="3"/>
      <c r="M5" s="3"/>
      <c r="N5" s="3"/>
      <c r="O5" s="3"/>
      <c r="P5" s="3"/>
      <c r="Q5" s="3"/>
      <c r="R5" s="3"/>
      <c r="S5" s="3"/>
      <c r="T5" s="3"/>
      <c r="U5" s="3"/>
      <c r="V5" s="3"/>
      <c r="W5" s="3"/>
      <c r="X5" s="3"/>
      <c r="Y5" s="3"/>
      <c r="Z5" s="3"/>
      <c r="AA5" s="3"/>
    </row>
    <row r="6" spans="1:27">
      <c r="A6" s="17" t="s">
        <v>9</v>
      </c>
      <c r="B6" s="75" t="s">
        <v>10</v>
      </c>
    </row>
    <row r="7" spans="1:27">
      <c r="A7" t="s">
        <v>38</v>
      </c>
      <c r="B7" s="69">
        <f>SUM(C7:AA7)</f>
        <v>76581789.58864215</v>
      </c>
      <c r="C7" s="65"/>
      <c r="D7" s="65"/>
      <c r="E7" s="65"/>
      <c r="F7" s="65">
        <f>Costs!G10</f>
        <v>0</v>
      </c>
      <c r="G7" s="65">
        <f>Costs!H10</f>
        <v>4584637.7866763743</v>
      </c>
      <c r="H7" s="65">
        <f>Costs!I10</f>
        <v>33009392.064069893</v>
      </c>
      <c r="I7" s="65">
        <f>Costs!J10</f>
        <v>38987759.737895884</v>
      </c>
      <c r="J7" s="65">
        <f>Costs!K10</f>
        <v>0</v>
      </c>
      <c r="K7" s="65">
        <f>Costs!L10</f>
        <v>0</v>
      </c>
      <c r="L7" s="65">
        <f>Costs!M10</f>
        <v>0</v>
      </c>
      <c r="M7" s="65">
        <f>Costs!N10</f>
        <v>0</v>
      </c>
      <c r="N7" s="65">
        <f>Costs!O10</f>
        <v>0</v>
      </c>
      <c r="O7" s="65">
        <f>Costs!P10</f>
        <v>0</v>
      </c>
      <c r="P7" s="65">
        <f>Costs!Q10</f>
        <v>0</v>
      </c>
      <c r="Q7" s="65">
        <f>Costs!R10</f>
        <v>0</v>
      </c>
      <c r="R7" s="65">
        <f>Costs!S10</f>
        <v>0</v>
      </c>
      <c r="S7" s="65">
        <f>Costs!T10</f>
        <v>0</v>
      </c>
      <c r="T7" s="65">
        <f>Costs!U10</f>
        <v>0</v>
      </c>
      <c r="U7" s="65">
        <f>Costs!V10</f>
        <v>0</v>
      </c>
      <c r="V7" s="65">
        <f>Costs!W10</f>
        <v>0</v>
      </c>
      <c r="W7" s="65">
        <f>Costs!X10</f>
        <v>0</v>
      </c>
      <c r="X7" s="65">
        <f>Costs!Y10</f>
        <v>0</v>
      </c>
      <c r="Y7" s="65">
        <f>Costs!Z10</f>
        <v>0</v>
      </c>
      <c r="Z7" s="65">
        <f>Costs!AA10</f>
        <v>0</v>
      </c>
      <c r="AA7" s="65">
        <f>Costs!AB10</f>
        <v>0</v>
      </c>
    </row>
    <row r="8" spans="1:27">
      <c r="A8" t="s">
        <v>39</v>
      </c>
      <c r="B8" s="69" t="e">
        <f>SUM(C8:AA8)</f>
        <v>#REF!</v>
      </c>
      <c r="C8" s="22"/>
      <c r="D8" s="22"/>
      <c r="E8" s="22"/>
      <c r="F8" s="22"/>
      <c r="G8" s="22"/>
      <c r="H8" s="65" t="e">
        <f>Costs!#REF!</f>
        <v>#REF!</v>
      </c>
      <c r="I8" s="65" t="e">
        <f>Costs!#REF!</f>
        <v>#REF!</v>
      </c>
      <c r="J8" s="65" t="e">
        <f>Costs!#REF!</f>
        <v>#REF!</v>
      </c>
      <c r="K8" s="65" t="e">
        <f>Costs!#REF!</f>
        <v>#REF!</v>
      </c>
      <c r="L8" s="65" t="e">
        <f>Costs!#REF!</f>
        <v>#REF!</v>
      </c>
      <c r="M8" s="65" t="e">
        <f>Costs!#REF!</f>
        <v>#REF!</v>
      </c>
      <c r="N8" s="65" t="e">
        <f>Costs!#REF!</f>
        <v>#REF!</v>
      </c>
      <c r="O8" s="65" t="e">
        <f>Costs!#REF!</f>
        <v>#REF!</v>
      </c>
      <c r="P8" s="65" t="e">
        <f>Costs!#REF!</f>
        <v>#REF!</v>
      </c>
      <c r="Q8" s="65" t="e">
        <f>Costs!#REF!</f>
        <v>#REF!</v>
      </c>
      <c r="R8" s="65" t="e">
        <f>Costs!#REF!</f>
        <v>#REF!</v>
      </c>
      <c r="S8" s="65" t="e">
        <f>Costs!#REF!</f>
        <v>#REF!</v>
      </c>
      <c r="T8" s="65" t="e">
        <f>Costs!#REF!</f>
        <v>#REF!</v>
      </c>
      <c r="U8" s="65" t="e">
        <f>Costs!#REF!</f>
        <v>#REF!</v>
      </c>
      <c r="V8" s="65" t="e">
        <f>Costs!#REF!</f>
        <v>#REF!</v>
      </c>
      <c r="W8" s="65" t="e">
        <f>Costs!#REF!</f>
        <v>#REF!</v>
      </c>
      <c r="X8" s="65" t="e">
        <f>Costs!#REF!</f>
        <v>#REF!</v>
      </c>
      <c r="Y8" s="65" t="e">
        <f>Costs!#REF!</f>
        <v>#REF!</v>
      </c>
      <c r="Z8" s="65" t="e">
        <f>Costs!#REF!</f>
        <v>#REF!</v>
      </c>
      <c r="AA8" s="65" t="e">
        <f>Costs!#REF!</f>
        <v>#REF!</v>
      </c>
    </row>
    <row r="9" spans="1:27">
      <c r="A9" s="16" t="s">
        <v>40</v>
      </c>
      <c r="B9" s="70" t="e">
        <f>SUM(B7:B8)</f>
        <v>#REF!</v>
      </c>
      <c r="C9" s="22"/>
      <c r="D9" s="22"/>
      <c r="E9" s="22"/>
      <c r="F9" s="70">
        <f t="shared" ref="F9:AA9" si="4">SUM(F7:F8)</f>
        <v>0</v>
      </c>
      <c r="G9" s="70">
        <f t="shared" si="4"/>
        <v>4584637.7866763743</v>
      </c>
      <c r="H9" s="70" t="e">
        <f t="shared" si="4"/>
        <v>#REF!</v>
      </c>
      <c r="I9" s="70" t="e">
        <f t="shared" si="4"/>
        <v>#REF!</v>
      </c>
      <c r="J9" s="70" t="e">
        <f t="shared" si="4"/>
        <v>#REF!</v>
      </c>
      <c r="K9" s="70" t="e">
        <f t="shared" si="4"/>
        <v>#REF!</v>
      </c>
      <c r="L9" s="70" t="e">
        <f t="shared" si="4"/>
        <v>#REF!</v>
      </c>
      <c r="M9" s="70" t="e">
        <f t="shared" si="4"/>
        <v>#REF!</v>
      </c>
      <c r="N9" s="70" t="e">
        <f t="shared" si="4"/>
        <v>#REF!</v>
      </c>
      <c r="O9" s="70" t="e">
        <f t="shared" si="4"/>
        <v>#REF!</v>
      </c>
      <c r="P9" s="70" t="e">
        <f t="shared" si="4"/>
        <v>#REF!</v>
      </c>
      <c r="Q9" s="70" t="e">
        <f t="shared" si="4"/>
        <v>#REF!</v>
      </c>
      <c r="R9" s="70" t="e">
        <f t="shared" si="4"/>
        <v>#REF!</v>
      </c>
      <c r="S9" s="70" t="e">
        <f t="shared" si="4"/>
        <v>#REF!</v>
      </c>
      <c r="T9" s="70" t="e">
        <f t="shared" si="4"/>
        <v>#REF!</v>
      </c>
      <c r="U9" s="70" t="e">
        <f t="shared" si="4"/>
        <v>#REF!</v>
      </c>
      <c r="V9" s="70" t="e">
        <f t="shared" si="4"/>
        <v>#REF!</v>
      </c>
      <c r="W9" s="70" t="e">
        <f t="shared" si="4"/>
        <v>#REF!</v>
      </c>
      <c r="X9" s="70" t="e">
        <f t="shared" si="4"/>
        <v>#REF!</v>
      </c>
      <c r="Y9" s="70" t="e">
        <f t="shared" si="4"/>
        <v>#REF!</v>
      </c>
      <c r="Z9" s="70" t="e">
        <f t="shared" si="4"/>
        <v>#REF!</v>
      </c>
      <c r="AA9" s="70" t="e">
        <f t="shared" si="4"/>
        <v>#REF!</v>
      </c>
    </row>
    <row r="10" spans="1:27">
      <c r="B10" s="70"/>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7">
      <c r="A11" s="17" t="s">
        <v>14</v>
      </c>
      <c r="B11" s="71"/>
    </row>
    <row r="12" spans="1:27">
      <c r="A12" t="s">
        <v>41</v>
      </c>
      <c r="B12" s="71"/>
      <c r="E12" s="80"/>
    </row>
    <row r="13" spans="1:27">
      <c r="A13" s="1" t="s">
        <v>42</v>
      </c>
      <c r="B13" s="69">
        <f>SUM(C13:AA13)</f>
        <v>86769.995018778674</v>
      </c>
      <c r="H13" s="134">
        <f t="shared" ref="H13:AA13" si="5">5744/H4</f>
        <v>5202.5177716630369</v>
      </c>
      <c r="I13" s="134">
        <f t="shared" si="5"/>
        <v>5100.5076192774868</v>
      </c>
      <c r="J13" s="134">
        <f t="shared" si="5"/>
        <v>5000.4976659583217</v>
      </c>
      <c r="K13" s="134">
        <f t="shared" si="5"/>
        <v>4902.4486921160014</v>
      </c>
      <c r="L13" s="134">
        <f t="shared" si="5"/>
        <v>4806.3222471725503</v>
      </c>
      <c r="M13" s="134">
        <f t="shared" si="5"/>
        <v>4712.0806344828916</v>
      </c>
      <c r="N13" s="134">
        <f t="shared" si="5"/>
        <v>4619.6868965518561</v>
      </c>
      <c r="O13" s="134">
        <f t="shared" si="5"/>
        <v>4529.1048005410339</v>
      </c>
      <c r="P13" s="134">
        <f t="shared" si="5"/>
        <v>4440.2988240598379</v>
      </c>
      <c r="Q13" s="134">
        <f t="shared" si="5"/>
        <v>4353.2341412351343</v>
      </c>
      <c r="R13" s="134">
        <f t="shared" si="5"/>
        <v>4267.8766090540548</v>
      </c>
      <c r="S13" s="134">
        <f t="shared" si="5"/>
        <v>4184.1927539745629</v>
      </c>
      <c r="T13" s="134">
        <f t="shared" si="5"/>
        <v>4102.1497587985905</v>
      </c>
      <c r="U13" s="134">
        <f t="shared" si="5"/>
        <v>4021.7154498025402</v>
      </c>
      <c r="V13" s="134">
        <f t="shared" si="5"/>
        <v>3942.8582841201378</v>
      </c>
      <c r="W13" s="134">
        <f t="shared" si="5"/>
        <v>3865.5473373726836</v>
      </c>
      <c r="X13" s="134">
        <f t="shared" si="5"/>
        <v>3789.7522915418472</v>
      </c>
      <c r="Y13" s="134">
        <f t="shared" si="5"/>
        <v>3715.4434230802417</v>
      </c>
      <c r="Z13" s="134">
        <f t="shared" si="5"/>
        <v>3642.59159125514</v>
      </c>
      <c r="AA13" s="134">
        <f t="shared" si="5"/>
        <v>3571.1682267207252</v>
      </c>
    </row>
    <row r="14" spans="1:27">
      <c r="A14" s="77" t="s">
        <v>43</v>
      </c>
      <c r="B14" s="69" t="e">
        <f>SUM(C14:AA14)</f>
        <v>#REF!</v>
      </c>
      <c r="H14" s="134" t="e">
        <f>#REF!/H4</f>
        <v>#REF!</v>
      </c>
      <c r="I14" s="134" t="e">
        <f>#REF!/I4</f>
        <v>#REF!</v>
      </c>
      <c r="J14" s="134" t="e">
        <f>#REF!/J4</f>
        <v>#REF!</v>
      </c>
      <c r="K14" s="134" t="e">
        <f>#REF!/K4</f>
        <v>#REF!</v>
      </c>
      <c r="L14" s="134" t="e">
        <f>#REF!/L4</f>
        <v>#REF!</v>
      </c>
      <c r="M14" s="134" t="e">
        <f>#REF!/M4</f>
        <v>#REF!</v>
      </c>
      <c r="N14" s="134" t="e">
        <f>#REF!/N4</f>
        <v>#REF!</v>
      </c>
      <c r="O14" s="134" t="e">
        <f>#REF!/O4</f>
        <v>#REF!</v>
      </c>
      <c r="P14" s="134" t="e">
        <f>#REF!/P4</f>
        <v>#REF!</v>
      </c>
      <c r="Q14" s="134" t="e">
        <f>#REF!/Q4</f>
        <v>#REF!</v>
      </c>
      <c r="R14" s="134" t="e">
        <f>#REF!/R4</f>
        <v>#REF!</v>
      </c>
      <c r="S14" s="134" t="e">
        <f>#REF!/S4</f>
        <v>#REF!</v>
      </c>
      <c r="T14" s="134" t="e">
        <f>#REF!/T4</f>
        <v>#REF!</v>
      </c>
      <c r="U14" s="134" t="e">
        <f>#REF!/U4</f>
        <v>#REF!</v>
      </c>
      <c r="V14" s="134" t="e">
        <f>#REF!/V4</f>
        <v>#REF!</v>
      </c>
      <c r="W14" s="134" t="e">
        <f>#REF!/W4</f>
        <v>#REF!</v>
      </c>
      <c r="X14" s="134" t="e">
        <f>#REF!/X4</f>
        <v>#REF!</v>
      </c>
      <c r="Y14" s="134" t="e">
        <f>#REF!/Y4</f>
        <v>#REF!</v>
      </c>
      <c r="Z14" s="134" t="e">
        <f>#REF!/Z4</f>
        <v>#REF!</v>
      </c>
      <c r="AA14" s="134" t="e">
        <f>#REF!/AA4</f>
        <v>#REF!</v>
      </c>
    </row>
    <row r="15" spans="1:27">
      <c r="A15" t="s">
        <v>31</v>
      </c>
      <c r="B15" s="70" t="e">
        <f>SUM(C15:AA15)</f>
        <v>#REF!</v>
      </c>
      <c r="H15" s="135" t="e">
        <f>H13+H14</f>
        <v>#REF!</v>
      </c>
      <c r="I15" s="135" t="e">
        <f t="shared" ref="I15:AA15" si="6">I13+I14</f>
        <v>#REF!</v>
      </c>
      <c r="J15" s="135" t="e">
        <f t="shared" si="6"/>
        <v>#REF!</v>
      </c>
      <c r="K15" s="135" t="e">
        <f t="shared" si="6"/>
        <v>#REF!</v>
      </c>
      <c r="L15" s="135" t="e">
        <f t="shared" si="6"/>
        <v>#REF!</v>
      </c>
      <c r="M15" s="135" t="e">
        <f t="shared" si="6"/>
        <v>#REF!</v>
      </c>
      <c r="N15" s="135" t="e">
        <f t="shared" si="6"/>
        <v>#REF!</v>
      </c>
      <c r="O15" s="135" t="e">
        <f t="shared" si="6"/>
        <v>#REF!</v>
      </c>
      <c r="P15" s="135" t="e">
        <f t="shared" si="6"/>
        <v>#REF!</v>
      </c>
      <c r="Q15" s="135" t="e">
        <f t="shared" si="6"/>
        <v>#REF!</v>
      </c>
      <c r="R15" s="135" t="e">
        <f t="shared" si="6"/>
        <v>#REF!</v>
      </c>
      <c r="S15" s="135" t="e">
        <f t="shared" si="6"/>
        <v>#REF!</v>
      </c>
      <c r="T15" s="135" t="e">
        <f t="shared" si="6"/>
        <v>#REF!</v>
      </c>
      <c r="U15" s="135" t="e">
        <f t="shared" si="6"/>
        <v>#REF!</v>
      </c>
      <c r="V15" s="135" t="e">
        <f t="shared" si="6"/>
        <v>#REF!</v>
      </c>
      <c r="W15" s="135" t="e">
        <f t="shared" si="6"/>
        <v>#REF!</v>
      </c>
      <c r="X15" s="135" t="e">
        <f t="shared" si="6"/>
        <v>#REF!</v>
      </c>
      <c r="Y15" s="135" t="e">
        <f t="shared" si="6"/>
        <v>#REF!</v>
      </c>
      <c r="Z15" s="135" t="e">
        <f t="shared" si="6"/>
        <v>#REF!</v>
      </c>
      <c r="AA15" s="135" t="e">
        <f t="shared" si="6"/>
        <v>#REF!</v>
      </c>
    </row>
    <row r="17" spans="1:2">
      <c r="A17" t="s">
        <v>44</v>
      </c>
      <c r="B17" s="1" t="s">
        <v>45</v>
      </c>
    </row>
    <row r="18" spans="1:2">
      <c r="A18" t="s">
        <v>33</v>
      </c>
      <c r="B18" s="2" t="e">
        <f>B15/B9</f>
        <v>#REF!</v>
      </c>
    </row>
    <row r="19" spans="1:2">
      <c r="A19" t="s">
        <v>46</v>
      </c>
      <c r="B19" s="124">
        <v>9.5000000000000001E-2</v>
      </c>
    </row>
  </sheetData>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D602-3F95-4B4C-A3CE-801F28389066}">
  <dimension ref="A1"/>
  <sheetViews>
    <sheetView workbookViewId="0"/>
  </sheetViews>
  <sheetFormatPr defaultColWidth="8.8554687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6C1F-D5FB-4B32-89EA-66FFF7EED211}">
  <sheetPr>
    <tabColor rgb="FFFF0000"/>
  </sheetPr>
  <dimension ref="A1:AH38"/>
  <sheetViews>
    <sheetView topLeftCell="A13" zoomScale="75" zoomScaleNormal="75" workbookViewId="0">
      <pane xSplit="1" topLeftCell="B1" activePane="topRight" state="frozen"/>
      <selection pane="topRight" activeCell="L38" sqref="L38"/>
    </sheetView>
  </sheetViews>
  <sheetFormatPr defaultColWidth="8.85546875" defaultRowHeight="15"/>
  <cols>
    <col min="1" max="1" width="45.140625" customWidth="1"/>
    <col min="2" max="2" width="20.140625" customWidth="1"/>
    <col min="3" max="3" width="17.42578125" style="201" customWidth="1"/>
    <col min="4" max="4" width="13.42578125" bestFit="1" customWidth="1"/>
    <col min="5" max="5" width="13.42578125" customWidth="1"/>
    <col min="6" max="6" width="13.42578125" bestFit="1" customWidth="1"/>
    <col min="7" max="7" width="13.85546875" customWidth="1"/>
    <col min="8" max="8" width="15.28515625" customWidth="1"/>
    <col min="9" max="9" width="12" customWidth="1"/>
    <col min="10" max="10" width="12.140625" customWidth="1"/>
    <col min="11" max="11" width="11.5703125" customWidth="1"/>
    <col min="12" max="12" width="12.42578125" customWidth="1"/>
    <col min="13" max="13" width="12.5703125" customWidth="1"/>
    <col min="14" max="34" width="11.5703125" customWidth="1"/>
  </cols>
  <sheetData>
    <row r="1" spans="1:34" ht="18.75">
      <c r="A1" s="4" t="s">
        <v>47</v>
      </c>
      <c r="B1" s="16"/>
      <c r="C1" s="198"/>
    </row>
    <row r="2" spans="1:34">
      <c r="A2" s="1" t="s">
        <v>2</v>
      </c>
      <c r="B2" s="1"/>
      <c r="C2" s="198"/>
      <c r="G2" s="147"/>
      <c r="H2" s="1">
        <v>1</v>
      </c>
      <c r="I2" s="226">
        <v>2</v>
      </c>
      <c r="J2" s="1">
        <v>3</v>
      </c>
    </row>
    <row r="3" spans="1:34">
      <c r="A3" s="1" t="s">
        <v>36</v>
      </c>
      <c r="B3" s="1"/>
      <c r="C3" s="199"/>
      <c r="D3" s="140"/>
      <c r="K3">
        <v>1</v>
      </c>
      <c r="L3">
        <f t="shared" ref="L3:X3" si="0">K3+1</f>
        <v>2</v>
      </c>
      <c r="M3">
        <f t="shared" si="0"/>
        <v>3</v>
      </c>
      <c r="N3">
        <f t="shared" si="0"/>
        <v>4</v>
      </c>
      <c r="O3">
        <f t="shared" si="0"/>
        <v>5</v>
      </c>
      <c r="P3">
        <f t="shared" si="0"/>
        <v>6</v>
      </c>
      <c r="Q3">
        <f t="shared" si="0"/>
        <v>7</v>
      </c>
      <c r="R3">
        <f t="shared" si="0"/>
        <v>8</v>
      </c>
      <c r="S3">
        <f t="shared" si="0"/>
        <v>9</v>
      </c>
      <c r="T3">
        <f t="shared" si="0"/>
        <v>10</v>
      </c>
      <c r="U3">
        <f t="shared" si="0"/>
        <v>11</v>
      </c>
      <c r="V3">
        <f t="shared" si="0"/>
        <v>12</v>
      </c>
      <c r="W3">
        <f t="shared" si="0"/>
        <v>13</v>
      </c>
      <c r="X3">
        <f t="shared" si="0"/>
        <v>14</v>
      </c>
      <c r="Y3">
        <f t="shared" ref="Y3:AC4" si="1">X3+1</f>
        <v>15</v>
      </c>
      <c r="Z3">
        <f t="shared" si="1"/>
        <v>16</v>
      </c>
      <c r="AA3">
        <f t="shared" si="1"/>
        <v>17</v>
      </c>
      <c r="AB3">
        <f t="shared" si="1"/>
        <v>18</v>
      </c>
      <c r="AC3">
        <f t="shared" si="1"/>
        <v>19</v>
      </c>
      <c r="AD3">
        <f t="shared" ref="AD3:AD4" si="2">AC3+1</f>
        <v>20</v>
      </c>
      <c r="AE3">
        <f t="shared" ref="AE3:AE4" si="3">AD3+1</f>
        <v>21</v>
      </c>
      <c r="AF3">
        <f t="shared" ref="AF3:AF4" si="4">AE3+1</f>
        <v>22</v>
      </c>
      <c r="AG3">
        <f t="shared" ref="AG3:AG4" si="5">AF3+1</f>
        <v>23</v>
      </c>
      <c r="AH3">
        <f t="shared" ref="AH3:AH4" si="6">AG3+1</f>
        <v>24</v>
      </c>
    </row>
    <row r="4" spans="1:34">
      <c r="C4" s="200" t="s">
        <v>48</v>
      </c>
      <c r="D4" s="16">
        <v>2020</v>
      </c>
      <c r="E4" s="16">
        <f t="shared" ref="E4:AB4" si="7">D4+1</f>
        <v>2021</v>
      </c>
      <c r="F4" s="16">
        <f>E4+1</f>
        <v>2022</v>
      </c>
      <c r="G4" s="16">
        <f t="shared" si="7"/>
        <v>2023</v>
      </c>
      <c r="H4" s="16">
        <f t="shared" si="7"/>
        <v>2024</v>
      </c>
      <c r="I4" s="16">
        <f t="shared" si="7"/>
        <v>2025</v>
      </c>
      <c r="J4" s="16">
        <f t="shared" si="7"/>
        <v>2026</v>
      </c>
      <c r="K4" s="16">
        <f t="shared" si="7"/>
        <v>2027</v>
      </c>
      <c r="L4" s="16">
        <f t="shared" si="7"/>
        <v>2028</v>
      </c>
      <c r="M4" s="16">
        <f t="shared" si="7"/>
        <v>2029</v>
      </c>
      <c r="N4" s="16">
        <f t="shared" si="7"/>
        <v>2030</v>
      </c>
      <c r="O4" s="16">
        <f t="shared" si="7"/>
        <v>2031</v>
      </c>
      <c r="P4" s="16">
        <f t="shared" si="7"/>
        <v>2032</v>
      </c>
      <c r="Q4" s="16">
        <f t="shared" si="7"/>
        <v>2033</v>
      </c>
      <c r="R4" s="16">
        <f t="shared" si="7"/>
        <v>2034</v>
      </c>
      <c r="S4" s="16">
        <f t="shared" si="7"/>
        <v>2035</v>
      </c>
      <c r="T4" s="16">
        <f t="shared" si="7"/>
        <v>2036</v>
      </c>
      <c r="U4" s="16">
        <f t="shared" si="7"/>
        <v>2037</v>
      </c>
      <c r="V4" s="16">
        <f t="shared" si="7"/>
        <v>2038</v>
      </c>
      <c r="W4" s="16">
        <f t="shared" si="7"/>
        <v>2039</v>
      </c>
      <c r="X4" s="16">
        <f t="shared" si="7"/>
        <v>2040</v>
      </c>
      <c r="Y4" s="16">
        <f t="shared" si="7"/>
        <v>2041</v>
      </c>
      <c r="Z4" s="16">
        <f t="shared" si="7"/>
        <v>2042</v>
      </c>
      <c r="AA4" s="16">
        <f t="shared" si="7"/>
        <v>2043</v>
      </c>
      <c r="AB4" s="16">
        <f t="shared" si="7"/>
        <v>2044</v>
      </c>
      <c r="AC4" s="16">
        <f t="shared" si="1"/>
        <v>2045</v>
      </c>
      <c r="AD4" s="16">
        <f t="shared" si="2"/>
        <v>2046</v>
      </c>
      <c r="AE4" s="16">
        <f t="shared" si="3"/>
        <v>2047</v>
      </c>
      <c r="AF4" s="16">
        <f t="shared" si="4"/>
        <v>2048</v>
      </c>
      <c r="AG4" s="16">
        <f t="shared" si="5"/>
        <v>2049</v>
      </c>
      <c r="AH4" s="16">
        <f t="shared" si="6"/>
        <v>2050</v>
      </c>
    </row>
    <row r="5" spans="1:34">
      <c r="A5" s="80"/>
      <c r="B5" s="80"/>
    </row>
    <row r="6" spans="1:34">
      <c r="A6" s="142" t="s">
        <v>49</v>
      </c>
      <c r="B6" s="142"/>
      <c r="C6" s="143"/>
    </row>
    <row r="7" spans="1:34">
      <c r="A7" s="142"/>
      <c r="B7" s="142"/>
      <c r="C7" s="143"/>
    </row>
    <row r="8" spans="1:34">
      <c r="A8" s="142" t="s">
        <v>50</v>
      </c>
      <c r="B8" s="142"/>
      <c r="C8" s="198"/>
    </row>
    <row r="9" spans="1:34">
      <c r="A9" s="313" t="s">
        <v>289</v>
      </c>
      <c r="B9" s="142"/>
      <c r="C9" s="71">
        <f>SUM(D9:K9)</f>
        <v>3835082</v>
      </c>
      <c r="D9" s="181">
        <v>3835082</v>
      </c>
    </row>
    <row r="10" spans="1:34">
      <c r="A10" s="80" t="s">
        <v>51</v>
      </c>
      <c r="B10" s="80"/>
      <c r="C10" s="71">
        <f>SUM(H10:K10)</f>
        <v>76581789.58864215</v>
      </c>
      <c r="G10" s="144"/>
      <c r="H10" s="144">
        <f>5000000/'Look Up Data'!C70</f>
        <v>4584637.7866763743</v>
      </c>
      <c r="I10" s="144">
        <f>36000000/'Look Up Data'!C70</f>
        <v>33009392.064069893</v>
      </c>
      <c r="J10" s="144">
        <f>(35000000+7520000)/'Look Up Data'!C70</f>
        <v>38987759.737895884</v>
      </c>
      <c r="K10" s="136"/>
    </row>
    <row r="11" spans="1:34">
      <c r="A11" s="80" t="s">
        <v>52</v>
      </c>
      <c r="B11" s="80"/>
      <c r="C11" s="71">
        <f>G10</f>
        <v>0</v>
      </c>
    </row>
    <row r="12" spans="1:34" ht="30">
      <c r="A12" s="77" t="s">
        <v>253</v>
      </c>
      <c r="B12" s="80"/>
      <c r="C12" s="71">
        <f>AH12</f>
        <v>38290894.794321075</v>
      </c>
      <c r="G12" s="19"/>
      <c r="I12" s="19"/>
      <c r="J12" s="141"/>
      <c r="L12" s="136"/>
      <c r="M12" s="136"/>
      <c r="N12" s="136"/>
      <c r="O12" s="136"/>
      <c r="P12" s="136"/>
      <c r="Q12" s="136"/>
      <c r="R12" s="136"/>
      <c r="S12" s="136"/>
      <c r="T12" s="136"/>
      <c r="U12" s="136"/>
      <c r="V12" s="136"/>
      <c r="W12" s="136"/>
      <c r="X12" s="136"/>
      <c r="Y12" s="136"/>
      <c r="Z12" s="136"/>
      <c r="AA12" s="136"/>
      <c r="AB12" s="136"/>
      <c r="AC12" s="136"/>
      <c r="AH12" s="181">
        <f>$C10*0.5</f>
        <v>38290894.794321075</v>
      </c>
    </row>
    <row r="13" spans="1:34">
      <c r="AC13" s="181"/>
    </row>
    <row r="14" spans="1:34">
      <c r="A14" s="191"/>
      <c r="B14" s="191"/>
      <c r="C14" s="202"/>
      <c r="J14" s="141"/>
    </row>
    <row r="15" spans="1:34">
      <c r="A15" s="80"/>
      <c r="B15" s="80"/>
      <c r="I15" s="210"/>
    </row>
    <row r="16" spans="1:34">
      <c r="A16" s="80"/>
      <c r="B16" s="80"/>
    </row>
    <row r="17" spans="1:8">
      <c r="A17" s="142" t="s">
        <v>53</v>
      </c>
      <c r="B17" s="142"/>
    </row>
    <row r="18" spans="1:8">
      <c r="A18" s="77" t="s">
        <v>54</v>
      </c>
      <c r="B18" s="80"/>
    </row>
    <row r="19" spans="1:8">
      <c r="A19" s="77" t="s">
        <v>250</v>
      </c>
      <c r="B19" s="80"/>
    </row>
    <row r="20" spans="1:8" ht="30">
      <c r="A20" s="77" t="s">
        <v>251</v>
      </c>
      <c r="B20" s="80"/>
    </row>
    <row r="21" spans="1:8" ht="44.1" customHeight="1">
      <c r="A21" s="77" t="s">
        <v>252</v>
      </c>
      <c r="B21" s="80"/>
    </row>
    <row r="22" spans="1:8" ht="15.75" thickBot="1">
      <c r="A22" s="80"/>
      <c r="B22" s="80"/>
    </row>
    <row r="23" spans="1:8" ht="16.5" thickTop="1">
      <c r="A23" s="80"/>
      <c r="B23" s="402" t="s">
        <v>282</v>
      </c>
      <c r="C23" s="404" t="s">
        <v>269</v>
      </c>
      <c r="D23" s="405"/>
      <c r="E23" s="404" t="s">
        <v>271</v>
      </c>
      <c r="F23" s="405"/>
      <c r="G23" s="402" t="s">
        <v>272</v>
      </c>
      <c r="H23" s="402" t="s">
        <v>273</v>
      </c>
    </row>
    <row r="24" spans="1:8" ht="16.5" thickBot="1">
      <c r="A24" s="80"/>
      <c r="B24" s="403"/>
      <c r="C24" s="406" t="s">
        <v>270</v>
      </c>
      <c r="D24" s="407"/>
      <c r="E24" s="406"/>
      <c r="F24" s="407"/>
      <c r="G24" s="408"/>
      <c r="H24" s="408"/>
    </row>
    <row r="25" spans="1:8" ht="17.25" thickTop="1" thickBot="1">
      <c r="A25" s="80"/>
      <c r="B25" s="297"/>
      <c r="C25" s="298" t="s">
        <v>274</v>
      </c>
      <c r="D25" s="296" t="s">
        <v>275</v>
      </c>
      <c r="E25" s="298" t="s">
        <v>274</v>
      </c>
      <c r="F25" s="298" t="s">
        <v>275</v>
      </c>
      <c r="G25" s="403"/>
      <c r="H25" s="403"/>
    </row>
    <row r="26" spans="1:8" ht="33" thickTop="1" thickBot="1">
      <c r="A26" s="80"/>
      <c r="B26" s="311" t="s">
        <v>276</v>
      </c>
      <c r="C26" s="300">
        <v>1033519</v>
      </c>
      <c r="D26" s="301">
        <v>0</v>
      </c>
      <c r="E26" s="302">
        <v>2801563</v>
      </c>
      <c r="F26" s="301">
        <v>0</v>
      </c>
      <c r="G26" s="301">
        <v>0</v>
      </c>
      <c r="H26" s="303">
        <v>3835082</v>
      </c>
    </row>
    <row r="27" spans="1:8" ht="33" thickTop="1" thickBot="1">
      <c r="A27" s="80"/>
      <c r="B27" s="311" t="s">
        <v>277</v>
      </c>
      <c r="C27" s="301">
        <v>183975</v>
      </c>
      <c r="D27" s="301">
        <v>0</v>
      </c>
      <c r="E27" s="301">
        <v>735896</v>
      </c>
      <c r="F27" s="301">
        <v>0</v>
      </c>
      <c r="G27" s="301">
        <v>0</v>
      </c>
      <c r="H27" s="303">
        <v>919871</v>
      </c>
    </row>
    <row r="28" spans="1:8" ht="17.25" thickTop="1" thickBot="1">
      <c r="A28" s="80"/>
      <c r="B28" s="311" t="s">
        <v>278</v>
      </c>
      <c r="C28" s="300">
        <v>0</v>
      </c>
      <c r="D28" s="301">
        <v>36000000</v>
      </c>
      <c r="E28" s="302">
        <v>0</v>
      </c>
      <c r="F28" s="301">
        <v>0</v>
      </c>
      <c r="G28" s="301">
        <v>36000000</v>
      </c>
      <c r="H28" s="303">
        <v>72000000</v>
      </c>
    </row>
    <row r="29" spans="1:8" ht="33" thickTop="1" thickBot="1">
      <c r="A29" s="80"/>
      <c r="B29" s="312" t="s">
        <v>279</v>
      </c>
      <c r="C29" s="300">
        <v>0</v>
      </c>
      <c r="D29" s="301">
        <v>2160000</v>
      </c>
      <c r="E29" s="302">
        <v>0</v>
      </c>
      <c r="F29" s="301">
        <v>0</v>
      </c>
      <c r="G29" s="301">
        <v>2160000</v>
      </c>
      <c r="H29" s="303">
        <v>4320000</v>
      </c>
    </row>
    <row r="30" spans="1:8" ht="33" thickTop="1" thickBot="1">
      <c r="A30" s="80"/>
      <c r="B30" s="311" t="s">
        <v>280</v>
      </c>
      <c r="C30" s="300">
        <v>0</v>
      </c>
      <c r="D30" s="301">
        <v>3600000</v>
      </c>
      <c r="E30" s="302">
        <v>0</v>
      </c>
      <c r="F30" s="301">
        <v>0</v>
      </c>
      <c r="G30" s="301">
        <v>3600000</v>
      </c>
      <c r="H30" s="303">
        <v>7200000</v>
      </c>
    </row>
    <row r="31" spans="1:8" ht="17.25" thickTop="1" thickBot="1">
      <c r="A31" s="80"/>
      <c r="B31" s="304" t="s">
        <v>281</v>
      </c>
      <c r="C31" s="305">
        <v>1217494</v>
      </c>
      <c r="D31" s="305">
        <v>41760000</v>
      </c>
      <c r="E31" s="305">
        <v>3537459</v>
      </c>
      <c r="F31" s="305">
        <v>0</v>
      </c>
      <c r="G31" s="305">
        <v>41760000</v>
      </c>
      <c r="H31" s="305">
        <v>88274953</v>
      </c>
    </row>
    <row r="32" spans="1:8" ht="16.5" thickTop="1" thickBot="1">
      <c r="A32" s="80"/>
      <c r="B32" s="306"/>
      <c r="C32"/>
    </row>
    <row r="33" spans="1:8" ht="17.25" thickTop="1" thickBot="1">
      <c r="A33" s="80"/>
      <c r="B33" s="307" t="s">
        <v>282</v>
      </c>
      <c r="C33" s="308" t="s">
        <v>283</v>
      </c>
      <c r="D33" s="308" t="s">
        <v>284</v>
      </c>
      <c r="E33" s="308" t="s">
        <v>285</v>
      </c>
      <c r="F33" s="308" t="s">
        <v>286</v>
      </c>
      <c r="G33" s="308" t="s">
        <v>287</v>
      </c>
      <c r="H33" s="308" t="s">
        <v>48</v>
      </c>
    </row>
    <row r="34" spans="1:8" ht="17.25" thickTop="1" thickBot="1">
      <c r="A34" s="80"/>
      <c r="B34" s="299" t="s">
        <v>52</v>
      </c>
      <c r="C34" s="301">
        <v>0</v>
      </c>
      <c r="D34" s="301">
        <v>0</v>
      </c>
      <c r="E34" s="301">
        <v>0</v>
      </c>
      <c r="F34" s="301">
        <v>0</v>
      </c>
      <c r="G34" s="301">
        <v>0</v>
      </c>
      <c r="H34" s="303">
        <v>0</v>
      </c>
    </row>
    <row r="35" spans="1:8" ht="17.25" thickTop="1" thickBot="1">
      <c r="A35" s="80"/>
      <c r="B35" s="299" t="s">
        <v>288</v>
      </c>
      <c r="C35" s="301">
        <v>0</v>
      </c>
      <c r="D35" s="301">
        <v>0</v>
      </c>
      <c r="E35" s="301">
        <v>0</v>
      </c>
      <c r="F35" s="301">
        <v>0</v>
      </c>
      <c r="G35" s="301">
        <v>0</v>
      </c>
      <c r="H35" s="303">
        <v>0</v>
      </c>
    </row>
    <row r="36" spans="1:8" ht="17.25" thickTop="1" thickBot="1">
      <c r="B36" s="299" t="s">
        <v>278</v>
      </c>
      <c r="C36" s="301">
        <v>0</v>
      </c>
      <c r="D36" s="301">
        <v>5000000</v>
      </c>
      <c r="E36" s="301">
        <v>36000000</v>
      </c>
      <c r="F36" s="301">
        <v>35000000</v>
      </c>
      <c r="G36" s="301">
        <v>7520000</v>
      </c>
      <c r="H36" s="303">
        <v>83520000</v>
      </c>
    </row>
    <row r="37" spans="1:8" ht="17.25" thickTop="1" thickBot="1">
      <c r="B37" s="309" t="s">
        <v>281</v>
      </c>
      <c r="C37" s="310">
        <v>0</v>
      </c>
      <c r="D37" s="310">
        <v>5000000</v>
      </c>
      <c r="E37" s="310">
        <v>36000000</v>
      </c>
      <c r="F37" s="310">
        <v>35000000</v>
      </c>
      <c r="G37" s="310">
        <v>7520000</v>
      </c>
      <c r="H37" s="310">
        <v>83520000</v>
      </c>
    </row>
    <row r="38" spans="1:8" ht="15.75" thickTop="1"/>
  </sheetData>
  <mergeCells count="6">
    <mergeCell ref="B23:B24"/>
    <mergeCell ref="C23:D23"/>
    <mergeCell ref="E23:F24"/>
    <mergeCell ref="G23:G25"/>
    <mergeCell ref="H23:H25"/>
    <mergeCell ref="C24:D24"/>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BA48-5D5B-40FE-B082-D54B3DE569DD}">
  <sheetPr>
    <tabColor rgb="FF92D050"/>
  </sheetPr>
  <dimension ref="A1:AA4"/>
  <sheetViews>
    <sheetView workbookViewId="0">
      <selection activeCell="J19" sqref="J19"/>
    </sheetView>
  </sheetViews>
  <sheetFormatPr defaultRowHeight="15"/>
  <cols>
    <col min="1" max="1" width="35.5703125" customWidth="1"/>
  </cols>
  <sheetData>
    <row r="1" spans="1:27" ht="15.75">
      <c r="A1" s="78" t="s">
        <v>57</v>
      </c>
    </row>
    <row r="3" spans="1:27">
      <c r="C3" s="16">
        <v>2019</v>
      </c>
      <c r="D3" s="16">
        <f t="shared" ref="D3:AA3" si="0">C3+1</f>
        <v>2020</v>
      </c>
      <c r="E3" s="16">
        <f t="shared" si="0"/>
        <v>2021</v>
      </c>
      <c r="F3" s="16">
        <f t="shared" si="0"/>
        <v>2022</v>
      </c>
      <c r="G3" s="16">
        <f t="shared" si="0"/>
        <v>2023</v>
      </c>
      <c r="H3" s="16">
        <f t="shared" si="0"/>
        <v>2024</v>
      </c>
      <c r="I3" s="16">
        <f t="shared" si="0"/>
        <v>2025</v>
      </c>
      <c r="J3" s="16">
        <f t="shared" si="0"/>
        <v>2026</v>
      </c>
      <c r="K3" s="16">
        <f t="shared" si="0"/>
        <v>2027</v>
      </c>
      <c r="L3" s="16">
        <f t="shared" si="0"/>
        <v>2028</v>
      </c>
      <c r="M3" s="16">
        <f t="shared" si="0"/>
        <v>2029</v>
      </c>
      <c r="N3" s="16">
        <f t="shared" si="0"/>
        <v>2030</v>
      </c>
      <c r="O3" s="16">
        <f t="shared" si="0"/>
        <v>2031</v>
      </c>
      <c r="P3" s="16">
        <f t="shared" si="0"/>
        <v>2032</v>
      </c>
      <c r="Q3" s="16">
        <f t="shared" si="0"/>
        <v>2033</v>
      </c>
      <c r="R3" s="16">
        <f t="shared" si="0"/>
        <v>2034</v>
      </c>
      <c r="S3" s="16">
        <f t="shared" si="0"/>
        <v>2035</v>
      </c>
      <c r="T3" s="16">
        <f t="shared" si="0"/>
        <v>2036</v>
      </c>
      <c r="U3" s="16">
        <f t="shared" si="0"/>
        <v>2037</v>
      </c>
      <c r="V3" s="16">
        <f t="shared" si="0"/>
        <v>2038</v>
      </c>
      <c r="W3" s="16">
        <f t="shared" si="0"/>
        <v>2039</v>
      </c>
      <c r="X3" s="16">
        <f t="shared" si="0"/>
        <v>2040</v>
      </c>
      <c r="Y3" s="16">
        <f t="shared" si="0"/>
        <v>2041</v>
      </c>
      <c r="Z3" s="16">
        <f t="shared" si="0"/>
        <v>2042</v>
      </c>
      <c r="AA3" s="16">
        <f t="shared" si="0"/>
        <v>2043</v>
      </c>
    </row>
    <row r="4" spans="1:27">
      <c r="A4" s="16"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AD31D-37A4-499A-A7AF-B415233758D2}">
  <sheetPr>
    <tabColor theme="9" tint="0.39997558519241921"/>
  </sheetPr>
  <dimension ref="A1:AH42"/>
  <sheetViews>
    <sheetView topLeftCell="E26" zoomScale="75" zoomScaleNormal="75" workbookViewId="0">
      <selection activeCell="M24" sqref="M24"/>
    </sheetView>
  </sheetViews>
  <sheetFormatPr defaultColWidth="8.7109375" defaultRowHeight="15"/>
  <cols>
    <col min="1" max="1" width="39.28515625" customWidth="1"/>
    <col min="2" max="2" width="9.5703125" customWidth="1"/>
    <col min="3" max="4" width="12.5703125" customWidth="1"/>
    <col min="5" max="5" width="13.42578125" customWidth="1"/>
    <col min="6" max="6" width="13.7109375" customWidth="1"/>
    <col min="7" max="8" width="13.5703125" customWidth="1"/>
    <col min="9" max="9" width="13.85546875" customWidth="1"/>
    <col min="10" max="10" width="12.5703125" customWidth="1"/>
    <col min="11" max="21" width="11.5703125" customWidth="1"/>
    <col min="22" max="22" width="13.85546875" customWidth="1"/>
    <col min="23" max="33" width="11.5703125" customWidth="1"/>
  </cols>
  <sheetData>
    <row r="1" spans="1:34" ht="18.75">
      <c r="A1" s="4" t="s">
        <v>59</v>
      </c>
    </row>
    <row r="3" spans="1:34">
      <c r="A3" s="1" t="s">
        <v>36</v>
      </c>
      <c r="B3" s="140"/>
      <c r="I3">
        <v>1</v>
      </c>
      <c r="J3">
        <f t="shared" ref="J3:AA4" si="0">I3+1</f>
        <v>2</v>
      </c>
      <c r="K3">
        <f t="shared" si="0"/>
        <v>3</v>
      </c>
      <c r="L3">
        <f t="shared" si="0"/>
        <v>4</v>
      </c>
      <c r="M3">
        <f t="shared" si="0"/>
        <v>5</v>
      </c>
      <c r="N3">
        <f t="shared" si="0"/>
        <v>6</v>
      </c>
      <c r="O3">
        <f t="shared" si="0"/>
        <v>7</v>
      </c>
      <c r="P3">
        <f t="shared" si="0"/>
        <v>8</v>
      </c>
      <c r="Q3">
        <f t="shared" si="0"/>
        <v>9</v>
      </c>
      <c r="R3">
        <f t="shared" si="0"/>
        <v>10</v>
      </c>
      <c r="S3">
        <f t="shared" si="0"/>
        <v>11</v>
      </c>
      <c r="T3">
        <f t="shared" si="0"/>
        <v>12</v>
      </c>
      <c r="U3">
        <f t="shared" si="0"/>
        <v>13</v>
      </c>
      <c r="V3">
        <f t="shared" si="0"/>
        <v>14</v>
      </c>
      <c r="W3">
        <f t="shared" si="0"/>
        <v>15</v>
      </c>
      <c r="X3">
        <f t="shared" si="0"/>
        <v>16</v>
      </c>
      <c r="Y3">
        <f t="shared" si="0"/>
        <v>17</v>
      </c>
      <c r="Z3">
        <f t="shared" si="0"/>
        <v>18</v>
      </c>
      <c r="AA3">
        <f t="shared" si="0"/>
        <v>19</v>
      </c>
      <c r="AB3">
        <f t="shared" ref="AB3:AB4" si="1">AA3+1</f>
        <v>20</v>
      </c>
      <c r="AC3">
        <f t="shared" ref="AC3:AC4" si="2">AB3+1</f>
        <v>21</v>
      </c>
      <c r="AD3">
        <f t="shared" ref="AD3:AD4" si="3">AC3+1</f>
        <v>22</v>
      </c>
      <c r="AE3">
        <f t="shared" ref="AE3:AE4" si="4">AD3+1</f>
        <v>23</v>
      </c>
      <c r="AF3">
        <f t="shared" ref="AF3:AF4" si="5">AE3+1</f>
        <v>24</v>
      </c>
      <c r="AG3">
        <f t="shared" ref="AG3:AG4" si="6">AF3+1</f>
        <v>25</v>
      </c>
    </row>
    <row r="4" spans="1:34">
      <c r="B4">
        <v>2020</v>
      </c>
      <c r="C4">
        <f t="shared" ref="C4:Z4" si="7">B4+1</f>
        <v>2021</v>
      </c>
      <c r="D4">
        <f>C4+1</f>
        <v>2022</v>
      </c>
      <c r="E4">
        <f t="shared" si="7"/>
        <v>2023</v>
      </c>
      <c r="F4">
        <f t="shared" si="7"/>
        <v>2024</v>
      </c>
      <c r="G4">
        <f t="shared" si="7"/>
        <v>2025</v>
      </c>
      <c r="H4">
        <f t="shared" si="7"/>
        <v>2026</v>
      </c>
      <c r="I4">
        <f t="shared" si="7"/>
        <v>2027</v>
      </c>
      <c r="J4">
        <f t="shared" si="7"/>
        <v>2028</v>
      </c>
      <c r="K4">
        <f t="shared" si="7"/>
        <v>2029</v>
      </c>
      <c r="L4">
        <f t="shared" si="7"/>
        <v>2030</v>
      </c>
      <c r="M4">
        <f t="shared" si="7"/>
        <v>2031</v>
      </c>
      <c r="N4">
        <f t="shared" si="7"/>
        <v>2032</v>
      </c>
      <c r="O4">
        <f t="shared" si="7"/>
        <v>2033</v>
      </c>
      <c r="P4">
        <f t="shared" si="7"/>
        <v>2034</v>
      </c>
      <c r="Q4">
        <f t="shared" si="7"/>
        <v>2035</v>
      </c>
      <c r="R4">
        <f t="shared" si="7"/>
        <v>2036</v>
      </c>
      <c r="S4">
        <f t="shared" si="7"/>
        <v>2037</v>
      </c>
      <c r="T4">
        <f t="shared" si="7"/>
        <v>2038</v>
      </c>
      <c r="U4">
        <f t="shared" si="7"/>
        <v>2039</v>
      </c>
      <c r="V4">
        <f t="shared" si="7"/>
        <v>2040</v>
      </c>
      <c r="W4">
        <f t="shared" si="7"/>
        <v>2041</v>
      </c>
      <c r="X4">
        <f t="shared" si="7"/>
        <v>2042</v>
      </c>
      <c r="Y4">
        <f t="shared" si="7"/>
        <v>2043</v>
      </c>
      <c r="Z4">
        <f t="shared" si="7"/>
        <v>2044</v>
      </c>
      <c r="AA4">
        <f t="shared" si="0"/>
        <v>2045</v>
      </c>
      <c r="AB4">
        <f t="shared" si="1"/>
        <v>2046</v>
      </c>
      <c r="AC4">
        <f t="shared" si="2"/>
        <v>2047</v>
      </c>
      <c r="AD4">
        <f t="shared" si="3"/>
        <v>2048</v>
      </c>
      <c r="AE4">
        <f t="shared" si="4"/>
        <v>2049</v>
      </c>
      <c r="AF4">
        <f t="shared" si="5"/>
        <v>2050</v>
      </c>
      <c r="AG4">
        <f t="shared" si="6"/>
        <v>2051</v>
      </c>
    </row>
    <row r="5" spans="1:34" ht="15.75">
      <c r="A5" s="204"/>
      <c r="B5" s="147"/>
    </row>
    <row r="6" spans="1:34">
      <c r="A6" s="16" t="s">
        <v>60</v>
      </c>
      <c r="B6" s="145"/>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row>
    <row r="7" spans="1:34" hidden="1">
      <c r="A7" s="1" t="s">
        <v>61</v>
      </c>
      <c r="B7" s="145"/>
      <c r="F7" s="181">
        <v>5000</v>
      </c>
      <c r="G7" s="181">
        <v>5000</v>
      </c>
      <c r="H7" s="181">
        <v>5000</v>
      </c>
      <c r="I7" s="181">
        <v>5000</v>
      </c>
      <c r="J7" s="181">
        <v>5000</v>
      </c>
      <c r="K7" s="181">
        <v>5000</v>
      </c>
      <c r="L7" s="181">
        <v>5000</v>
      </c>
      <c r="M7" s="181">
        <v>5000</v>
      </c>
      <c r="N7" s="181">
        <v>5000</v>
      </c>
      <c r="O7" s="181">
        <v>5000</v>
      </c>
      <c r="P7" s="181">
        <v>5000</v>
      </c>
      <c r="Q7" s="181">
        <v>5000</v>
      </c>
      <c r="R7" s="181">
        <v>5000</v>
      </c>
      <c r="S7" s="181">
        <v>5000</v>
      </c>
      <c r="T7" s="181">
        <v>5000</v>
      </c>
      <c r="U7" s="181">
        <v>5000</v>
      </c>
      <c r="V7" s="181">
        <v>5000</v>
      </c>
      <c r="W7" s="181">
        <v>5000</v>
      </c>
      <c r="X7" s="181">
        <v>5000</v>
      </c>
      <c r="Y7" s="181">
        <v>5000</v>
      </c>
      <c r="Z7" s="181">
        <v>5000</v>
      </c>
      <c r="AA7" s="181">
        <v>5000</v>
      </c>
      <c r="AB7" s="181">
        <v>5000</v>
      </c>
      <c r="AC7" s="181">
        <v>5000</v>
      </c>
      <c r="AD7" s="181">
        <v>5000</v>
      </c>
      <c r="AE7" s="181">
        <v>5000</v>
      </c>
      <c r="AF7" s="181">
        <v>5000</v>
      </c>
      <c r="AG7" s="181">
        <v>5000</v>
      </c>
      <c r="AH7" s="181"/>
    </row>
    <row r="8" spans="1:34">
      <c r="A8" s="1" t="s">
        <v>318</v>
      </c>
      <c r="B8" s="145"/>
      <c r="F8" s="222">
        <v>100000</v>
      </c>
      <c r="G8" s="181"/>
      <c r="H8" s="181">
        <v>3000000</v>
      </c>
      <c r="I8" s="181"/>
      <c r="J8" s="181"/>
      <c r="K8" s="181"/>
      <c r="L8" s="181"/>
      <c r="M8" s="181"/>
      <c r="N8" s="181"/>
      <c r="O8" s="181"/>
      <c r="P8" s="181"/>
      <c r="Q8" s="181"/>
      <c r="R8" s="181"/>
      <c r="S8" s="181"/>
      <c r="T8" s="181"/>
      <c r="U8" s="181"/>
      <c r="V8" s="181">
        <v>15000000</v>
      </c>
      <c r="W8" s="181"/>
      <c r="X8" s="181"/>
      <c r="Y8" s="181"/>
      <c r="Z8" s="181"/>
      <c r="AA8" s="181"/>
      <c r="AB8" s="181"/>
      <c r="AC8" s="181"/>
      <c r="AD8" s="181"/>
      <c r="AE8" s="181"/>
      <c r="AF8" s="181">
        <v>100000</v>
      </c>
      <c r="AG8" s="181"/>
      <c r="AH8" s="181"/>
    </row>
    <row r="9" spans="1:34">
      <c r="A9" s="16" t="s">
        <v>50</v>
      </c>
      <c r="B9" s="146"/>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row>
    <row r="10" spans="1:34" hidden="1">
      <c r="A10" s="1" t="s">
        <v>61</v>
      </c>
      <c r="F10" s="181">
        <v>5000</v>
      </c>
      <c r="G10" s="181">
        <v>5000</v>
      </c>
      <c r="H10" s="181">
        <v>5000</v>
      </c>
      <c r="I10" s="181">
        <v>5000</v>
      </c>
      <c r="J10" s="181">
        <v>5000</v>
      </c>
      <c r="K10" s="181">
        <v>5000</v>
      </c>
      <c r="L10" s="181">
        <v>5000</v>
      </c>
      <c r="M10" s="181">
        <v>5000</v>
      </c>
      <c r="N10" s="181">
        <v>5000</v>
      </c>
      <c r="O10" s="181">
        <v>5000</v>
      </c>
      <c r="P10" s="181">
        <v>5000</v>
      </c>
      <c r="Q10" s="181">
        <v>5000</v>
      </c>
      <c r="R10" s="181">
        <v>5000</v>
      </c>
      <c r="S10" s="181">
        <v>5000</v>
      </c>
      <c r="T10" s="181">
        <v>5000</v>
      </c>
      <c r="U10" s="181">
        <v>5000</v>
      </c>
      <c r="V10" s="181">
        <v>5000</v>
      </c>
      <c r="W10" s="181">
        <v>5000</v>
      </c>
      <c r="X10" s="181">
        <v>5000</v>
      </c>
      <c r="Y10" s="181">
        <v>5000</v>
      </c>
      <c r="Z10" s="181">
        <v>5000</v>
      </c>
      <c r="AA10" s="181">
        <v>5000</v>
      </c>
      <c r="AB10" s="181">
        <v>5000</v>
      </c>
      <c r="AC10" s="181">
        <v>5000</v>
      </c>
      <c r="AD10" s="181">
        <v>5000</v>
      </c>
      <c r="AE10" s="181">
        <v>5000</v>
      </c>
      <c r="AF10" s="181">
        <v>5000</v>
      </c>
      <c r="AG10" s="181">
        <v>5000</v>
      </c>
      <c r="AH10" s="181"/>
    </row>
    <row r="11" spans="1:34">
      <c r="A11" s="1" t="s">
        <v>318</v>
      </c>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v>1000000</v>
      </c>
      <c r="AG11" s="181"/>
      <c r="AH11" s="181"/>
    </row>
    <row r="12" spans="1:34">
      <c r="A12" s="16" t="s">
        <v>62</v>
      </c>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row>
    <row r="13" spans="1:34">
      <c r="A13" s="1" t="s">
        <v>61</v>
      </c>
      <c r="F13" s="181"/>
      <c r="G13" s="181"/>
      <c r="H13" s="181"/>
      <c r="I13" s="181">
        <f t="shared" ref="I13:AG13" si="8">I7-I10</f>
        <v>0</v>
      </c>
      <c r="J13" s="181">
        <f t="shared" si="8"/>
        <v>0</v>
      </c>
      <c r="K13" s="181">
        <f t="shared" si="8"/>
        <v>0</v>
      </c>
      <c r="L13" s="181">
        <f t="shared" si="8"/>
        <v>0</v>
      </c>
      <c r="M13" s="181">
        <f t="shared" si="8"/>
        <v>0</v>
      </c>
      <c r="N13" s="181">
        <f t="shared" si="8"/>
        <v>0</v>
      </c>
      <c r="O13" s="181">
        <f t="shared" si="8"/>
        <v>0</v>
      </c>
      <c r="P13" s="181">
        <f t="shared" si="8"/>
        <v>0</v>
      </c>
      <c r="Q13" s="181">
        <f t="shared" si="8"/>
        <v>0</v>
      </c>
      <c r="R13" s="181">
        <f t="shared" si="8"/>
        <v>0</v>
      </c>
      <c r="S13" s="181">
        <f t="shared" si="8"/>
        <v>0</v>
      </c>
      <c r="T13" s="181">
        <f t="shared" si="8"/>
        <v>0</v>
      </c>
      <c r="U13" s="181">
        <f t="shared" si="8"/>
        <v>0</v>
      </c>
      <c r="V13" s="181">
        <f t="shared" si="8"/>
        <v>0</v>
      </c>
      <c r="W13" s="181">
        <f t="shared" si="8"/>
        <v>0</v>
      </c>
      <c r="X13" s="181">
        <f t="shared" si="8"/>
        <v>0</v>
      </c>
      <c r="Y13" s="181">
        <f t="shared" si="8"/>
        <v>0</v>
      </c>
      <c r="Z13" s="181">
        <f t="shared" si="8"/>
        <v>0</v>
      </c>
      <c r="AA13" s="181">
        <f t="shared" si="8"/>
        <v>0</v>
      </c>
      <c r="AB13" s="181">
        <f t="shared" si="8"/>
        <v>0</v>
      </c>
      <c r="AC13" s="181">
        <f t="shared" si="8"/>
        <v>0</v>
      </c>
      <c r="AD13" s="181">
        <f t="shared" si="8"/>
        <v>0</v>
      </c>
      <c r="AE13" s="181">
        <f t="shared" si="8"/>
        <v>0</v>
      </c>
      <c r="AF13" s="181">
        <f t="shared" si="8"/>
        <v>0</v>
      </c>
      <c r="AG13" s="181">
        <f t="shared" si="8"/>
        <v>0</v>
      </c>
      <c r="AH13" s="181"/>
    </row>
    <row r="14" spans="1:34">
      <c r="A14" s="1" t="s">
        <v>318</v>
      </c>
      <c r="F14" s="181">
        <f>F8-F11</f>
        <v>100000</v>
      </c>
      <c r="G14" s="181">
        <f t="shared" ref="G14:AG14" si="9">G8-G11</f>
        <v>0</v>
      </c>
      <c r="H14" s="181">
        <f t="shared" si="9"/>
        <v>3000000</v>
      </c>
      <c r="I14" s="181">
        <f t="shared" si="9"/>
        <v>0</v>
      </c>
      <c r="J14" s="181">
        <f t="shared" si="9"/>
        <v>0</v>
      </c>
      <c r="K14" s="181">
        <f t="shared" si="9"/>
        <v>0</v>
      </c>
      <c r="L14" s="181">
        <f t="shared" si="9"/>
        <v>0</v>
      </c>
      <c r="M14" s="181">
        <f t="shared" si="9"/>
        <v>0</v>
      </c>
      <c r="N14" s="181">
        <f t="shared" si="9"/>
        <v>0</v>
      </c>
      <c r="O14" s="181">
        <f t="shared" si="9"/>
        <v>0</v>
      </c>
      <c r="P14" s="181">
        <f t="shared" si="9"/>
        <v>0</v>
      </c>
      <c r="Q14" s="181">
        <f t="shared" si="9"/>
        <v>0</v>
      </c>
      <c r="R14" s="181">
        <f t="shared" si="9"/>
        <v>0</v>
      </c>
      <c r="S14" s="181">
        <f t="shared" si="9"/>
        <v>0</v>
      </c>
      <c r="T14" s="181">
        <f t="shared" si="9"/>
        <v>0</v>
      </c>
      <c r="U14" s="181">
        <f t="shared" si="9"/>
        <v>0</v>
      </c>
      <c r="V14" s="181">
        <f t="shared" si="9"/>
        <v>15000000</v>
      </c>
      <c r="W14" s="181">
        <f t="shared" si="9"/>
        <v>0</v>
      </c>
      <c r="X14" s="181">
        <f t="shared" si="9"/>
        <v>0</v>
      </c>
      <c r="Y14" s="181">
        <f t="shared" si="9"/>
        <v>0</v>
      </c>
      <c r="Z14" s="181">
        <f t="shared" si="9"/>
        <v>0</v>
      </c>
      <c r="AA14" s="181">
        <f t="shared" si="9"/>
        <v>0</v>
      </c>
      <c r="AB14" s="181">
        <f t="shared" si="9"/>
        <v>0</v>
      </c>
      <c r="AC14" s="181">
        <f t="shared" si="9"/>
        <v>0</v>
      </c>
      <c r="AD14" s="181">
        <f t="shared" si="9"/>
        <v>0</v>
      </c>
      <c r="AE14" s="181">
        <f t="shared" si="9"/>
        <v>0</v>
      </c>
      <c r="AF14" s="181">
        <f t="shared" si="9"/>
        <v>-900000</v>
      </c>
      <c r="AG14" s="181">
        <f t="shared" si="9"/>
        <v>0</v>
      </c>
      <c r="AH14" s="181"/>
    </row>
    <row r="15" spans="1:34">
      <c r="A15" s="1" t="s">
        <v>63</v>
      </c>
      <c r="F15" s="181">
        <f>-(F14+F13)</f>
        <v>-100000</v>
      </c>
      <c r="G15" s="181">
        <f t="shared" ref="G15:AG15" si="10">-(G14+G13)</f>
        <v>0</v>
      </c>
      <c r="H15" s="181">
        <f t="shared" si="10"/>
        <v>-3000000</v>
      </c>
      <c r="I15" s="181">
        <f t="shared" si="10"/>
        <v>0</v>
      </c>
      <c r="J15" s="181">
        <f t="shared" si="10"/>
        <v>0</v>
      </c>
      <c r="K15" s="181">
        <f t="shared" si="10"/>
        <v>0</v>
      </c>
      <c r="L15" s="181">
        <f t="shared" si="10"/>
        <v>0</v>
      </c>
      <c r="M15" s="181">
        <f t="shared" si="10"/>
        <v>0</v>
      </c>
      <c r="N15" s="181">
        <f t="shared" si="10"/>
        <v>0</v>
      </c>
      <c r="O15" s="181">
        <f t="shared" si="10"/>
        <v>0</v>
      </c>
      <c r="P15" s="181">
        <f t="shared" si="10"/>
        <v>0</v>
      </c>
      <c r="Q15" s="181">
        <f t="shared" si="10"/>
        <v>0</v>
      </c>
      <c r="R15" s="181">
        <f t="shared" si="10"/>
        <v>0</v>
      </c>
      <c r="S15" s="181">
        <f t="shared" si="10"/>
        <v>0</v>
      </c>
      <c r="T15" s="181">
        <f t="shared" si="10"/>
        <v>0</v>
      </c>
      <c r="U15" s="181">
        <f t="shared" si="10"/>
        <v>0</v>
      </c>
      <c r="V15" s="181">
        <f t="shared" si="10"/>
        <v>-15000000</v>
      </c>
      <c r="W15" s="181">
        <f t="shared" si="10"/>
        <v>0</v>
      </c>
      <c r="X15" s="181">
        <f t="shared" si="10"/>
        <v>0</v>
      </c>
      <c r="Y15" s="181">
        <f t="shared" si="10"/>
        <v>0</v>
      </c>
      <c r="Z15" s="181">
        <f t="shared" si="10"/>
        <v>0</v>
      </c>
      <c r="AA15" s="181">
        <f t="shared" si="10"/>
        <v>0</v>
      </c>
      <c r="AB15" s="181">
        <f t="shared" si="10"/>
        <v>0</v>
      </c>
      <c r="AC15" s="181">
        <f t="shared" si="10"/>
        <v>0</v>
      </c>
      <c r="AD15" s="181">
        <f t="shared" si="10"/>
        <v>0</v>
      </c>
      <c r="AE15" s="181">
        <f t="shared" si="10"/>
        <v>0</v>
      </c>
      <c r="AF15" s="181">
        <f t="shared" si="10"/>
        <v>900000</v>
      </c>
      <c r="AG15" s="181">
        <f t="shared" si="10"/>
        <v>0</v>
      </c>
      <c r="AH15" s="181"/>
    </row>
    <row r="16" spans="1:34">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row>
    <row r="17" spans="1:9" ht="15.75" thickBot="1"/>
    <row r="18" spans="1:9" ht="19.5" thickBot="1">
      <c r="A18" s="409" t="s">
        <v>227</v>
      </c>
      <c r="B18" s="411" t="s">
        <v>228</v>
      </c>
      <c r="C18" s="412"/>
      <c r="D18" s="412"/>
      <c r="E18" s="413"/>
      <c r="F18" s="262"/>
      <c r="G18" s="414" t="s">
        <v>229</v>
      </c>
      <c r="H18" s="415"/>
      <c r="I18" s="416"/>
    </row>
    <row r="19" spans="1:9" ht="45.75" thickBot="1">
      <c r="A19" s="410"/>
      <c r="B19" s="263" t="s">
        <v>314</v>
      </c>
      <c r="C19" s="264" t="s">
        <v>315</v>
      </c>
      <c r="D19" s="264" t="s">
        <v>316</v>
      </c>
      <c r="E19" s="264" t="s">
        <v>313</v>
      </c>
      <c r="F19" s="266"/>
      <c r="G19" s="265" t="s">
        <v>314</v>
      </c>
      <c r="H19" s="265" t="s">
        <v>317</v>
      </c>
      <c r="I19" s="265" t="s">
        <v>230</v>
      </c>
    </row>
    <row r="20" spans="1:9">
      <c r="A20" s="268">
        <v>2024</v>
      </c>
      <c r="B20" s="273">
        <v>5000</v>
      </c>
      <c r="C20" s="273">
        <v>0</v>
      </c>
      <c r="D20" s="273">
        <v>100000</v>
      </c>
      <c r="E20" s="273">
        <f t="shared" ref="E20:E39" si="11">SUM(B20:D20)</f>
        <v>105000</v>
      </c>
      <c r="F20" s="274"/>
      <c r="G20" s="276"/>
      <c r="H20" s="273"/>
      <c r="I20" s="275"/>
    </row>
    <row r="21" spans="1:9">
      <c r="A21" s="269">
        <v>2025</v>
      </c>
      <c r="B21" s="277">
        <v>5000</v>
      </c>
      <c r="C21" s="273">
        <v>0</v>
      </c>
      <c r="D21" s="277">
        <v>0</v>
      </c>
      <c r="E21" s="273">
        <f t="shared" si="11"/>
        <v>5000</v>
      </c>
      <c r="F21" s="274"/>
      <c r="G21" s="276"/>
      <c r="H21" s="273"/>
      <c r="I21" s="275"/>
    </row>
    <row r="22" spans="1:9" ht="15.75" thickBot="1">
      <c r="A22" s="270">
        <v>2026</v>
      </c>
      <c r="B22" s="278">
        <v>5000</v>
      </c>
      <c r="C22" s="279">
        <v>3000000</v>
      </c>
      <c r="D22" s="277">
        <v>0</v>
      </c>
      <c r="E22" s="273">
        <f t="shared" si="11"/>
        <v>3005000</v>
      </c>
      <c r="F22" s="274"/>
      <c r="G22" s="276"/>
      <c r="H22" s="273"/>
      <c r="I22" s="275"/>
    </row>
    <row r="23" spans="1:9" ht="15.75" thickBot="1">
      <c r="A23" s="267">
        <v>2028</v>
      </c>
      <c r="B23" s="278">
        <v>5000</v>
      </c>
      <c r="C23" s="276">
        <v>0</v>
      </c>
      <c r="D23" s="277">
        <v>0</v>
      </c>
      <c r="E23" s="273">
        <f t="shared" si="11"/>
        <v>5000</v>
      </c>
      <c r="F23" s="274"/>
      <c r="G23" s="273">
        <v>5000</v>
      </c>
      <c r="H23" s="273">
        <v>0</v>
      </c>
      <c r="I23" s="275">
        <f t="shared" ref="I23:I39" si="12">SUM(G23+H23)</f>
        <v>5000</v>
      </c>
    </row>
    <row r="24" spans="1:9" ht="15.75" thickBot="1">
      <c r="A24" s="267">
        <v>2030</v>
      </c>
      <c r="B24" s="278">
        <v>5000</v>
      </c>
      <c r="C24" s="276">
        <v>0</v>
      </c>
      <c r="D24" s="277">
        <v>0</v>
      </c>
      <c r="E24" s="273">
        <f t="shared" si="11"/>
        <v>5000</v>
      </c>
      <c r="F24" s="274"/>
      <c r="G24" s="273">
        <v>5000</v>
      </c>
      <c r="H24" s="273">
        <v>0</v>
      </c>
      <c r="I24" s="275">
        <f t="shared" si="12"/>
        <v>5000</v>
      </c>
    </row>
    <row r="25" spans="1:9" ht="15.75" thickBot="1">
      <c r="A25" s="267">
        <v>2032</v>
      </c>
      <c r="B25" s="278">
        <v>5000</v>
      </c>
      <c r="C25" s="276">
        <v>0</v>
      </c>
      <c r="D25" s="277">
        <v>0</v>
      </c>
      <c r="E25" s="273">
        <f t="shared" si="11"/>
        <v>5000</v>
      </c>
      <c r="F25" s="274"/>
      <c r="G25" s="273">
        <v>5000</v>
      </c>
      <c r="H25" s="273">
        <v>0</v>
      </c>
      <c r="I25" s="275">
        <f t="shared" si="12"/>
        <v>5000</v>
      </c>
    </row>
    <row r="26" spans="1:9" ht="15.75" thickBot="1">
      <c r="A26" s="267">
        <v>2034</v>
      </c>
      <c r="B26" s="278">
        <v>5000</v>
      </c>
      <c r="C26" s="276">
        <v>0</v>
      </c>
      <c r="D26" s="277">
        <v>0</v>
      </c>
      <c r="E26" s="273">
        <f t="shared" si="11"/>
        <v>5000</v>
      </c>
      <c r="F26" s="274"/>
      <c r="G26" s="273">
        <v>5000</v>
      </c>
      <c r="H26" s="273">
        <v>0</v>
      </c>
      <c r="I26" s="275">
        <f t="shared" si="12"/>
        <v>5000</v>
      </c>
    </row>
    <row r="27" spans="1:9" ht="15.75" thickBot="1">
      <c r="A27" s="267">
        <v>2036</v>
      </c>
      <c r="B27" s="278">
        <v>5000</v>
      </c>
      <c r="C27" s="276">
        <v>0</v>
      </c>
      <c r="D27" s="277">
        <v>0</v>
      </c>
      <c r="E27" s="273">
        <f t="shared" si="11"/>
        <v>5000</v>
      </c>
      <c r="F27" s="274"/>
      <c r="G27" s="273">
        <v>5000</v>
      </c>
      <c r="H27" s="273">
        <v>0</v>
      </c>
      <c r="I27" s="275">
        <f t="shared" si="12"/>
        <v>5000</v>
      </c>
    </row>
    <row r="28" spans="1:9" ht="15.75" thickBot="1">
      <c r="A28" s="267">
        <v>2038</v>
      </c>
      <c r="B28" s="278">
        <v>5000</v>
      </c>
      <c r="C28" s="276">
        <v>0</v>
      </c>
      <c r="D28" s="277">
        <v>0</v>
      </c>
      <c r="E28" s="273">
        <f t="shared" si="11"/>
        <v>5000</v>
      </c>
      <c r="F28" s="274"/>
      <c r="G28" s="273">
        <v>5000</v>
      </c>
      <c r="H28" s="273">
        <v>0</v>
      </c>
      <c r="I28" s="275">
        <f t="shared" si="12"/>
        <v>5000</v>
      </c>
    </row>
    <row r="29" spans="1:9" ht="15.75" thickBot="1">
      <c r="A29" s="267">
        <v>2040</v>
      </c>
      <c r="B29" s="278">
        <v>5000</v>
      </c>
      <c r="C29" s="276">
        <v>15000000</v>
      </c>
      <c r="D29" s="277">
        <v>0</v>
      </c>
      <c r="E29" s="273">
        <f t="shared" si="11"/>
        <v>15005000</v>
      </c>
      <c r="F29" s="274"/>
      <c r="G29" s="273">
        <v>5000</v>
      </c>
      <c r="H29" s="273">
        <v>0</v>
      </c>
      <c r="I29" s="275">
        <f t="shared" si="12"/>
        <v>5000</v>
      </c>
    </row>
    <row r="30" spans="1:9" ht="15.75" thickBot="1">
      <c r="A30" s="267">
        <v>2042</v>
      </c>
      <c r="B30" s="278">
        <v>5000</v>
      </c>
      <c r="C30" s="276">
        <v>0</v>
      </c>
      <c r="D30" s="277">
        <v>0</v>
      </c>
      <c r="E30" s="273">
        <f t="shared" si="11"/>
        <v>5000</v>
      </c>
      <c r="F30" s="274"/>
      <c r="G30" s="273">
        <v>5000</v>
      </c>
      <c r="H30" s="273">
        <v>0</v>
      </c>
      <c r="I30" s="275">
        <f t="shared" si="12"/>
        <v>5000</v>
      </c>
    </row>
    <row r="31" spans="1:9" ht="15.75" thickBot="1">
      <c r="A31" s="267">
        <v>2044</v>
      </c>
      <c r="B31" s="278">
        <v>5000</v>
      </c>
      <c r="C31" s="276">
        <v>0</v>
      </c>
      <c r="D31" s="277">
        <v>0</v>
      </c>
      <c r="E31" s="273">
        <f t="shared" si="11"/>
        <v>5000</v>
      </c>
      <c r="F31" s="274"/>
      <c r="G31" s="273">
        <v>5000</v>
      </c>
      <c r="H31" s="273">
        <v>0</v>
      </c>
      <c r="I31" s="275">
        <f t="shared" si="12"/>
        <v>5000</v>
      </c>
    </row>
    <row r="32" spans="1:9" ht="15.75" thickBot="1">
      <c r="A32" s="267">
        <v>2046</v>
      </c>
      <c r="B32" s="278">
        <v>5000</v>
      </c>
      <c r="C32" s="276">
        <v>0</v>
      </c>
      <c r="D32" s="277">
        <v>0</v>
      </c>
      <c r="E32" s="273">
        <f t="shared" si="11"/>
        <v>5000</v>
      </c>
      <c r="F32" s="274"/>
      <c r="G32" s="273">
        <v>5000</v>
      </c>
      <c r="H32" s="273">
        <v>0</v>
      </c>
      <c r="I32" s="275">
        <f t="shared" si="12"/>
        <v>5000</v>
      </c>
    </row>
    <row r="33" spans="1:9" ht="15.75" thickBot="1">
      <c r="A33" s="267">
        <v>2048</v>
      </c>
      <c r="B33" s="278">
        <v>5000</v>
      </c>
      <c r="C33" s="276">
        <v>0</v>
      </c>
      <c r="D33" s="277">
        <v>0</v>
      </c>
      <c r="E33" s="273">
        <f t="shared" si="11"/>
        <v>5000</v>
      </c>
      <c r="F33" s="274"/>
      <c r="G33" s="273">
        <v>5000</v>
      </c>
      <c r="H33" s="273">
        <v>0</v>
      </c>
      <c r="I33" s="275">
        <f t="shared" si="12"/>
        <v>5000</v>
      </c>
    </row>
    <row r="34" spans="1:9" ht="15.75" thickBot="1">
      <c r="A34" s="267">
        <v>2050</v>
      </c>
      <c r="B34" s="278">
        <v>5000</v>
      </c>
      <c r="C34" s="276">
        <v>0</v>
      </c>
      <c r="D34" s="273">
        <v>100000</v>
      </c>
      <c r="E34" s="273">
        <f t="shared" si="11"/>
        <v>105000</v>
      </c>
      <c r="F34" s="274"/>
      <c r="G34" s="273">
        <v>5000</v>
      </c>
      <c r="H34" s="276">
        <v>1000000</v>
      </c>
      <c r="I34" s="275">
        <f t="shared" si="12"/>
        <v>1005000</v>
      </c>
    </row>
    <row r="35" spans="1:9" ht="15.75" thickBot="1">
      <c r="A35" s="267">
        <v>2052</v>
      </c>
      <c r="B35" s="278">
        <v>5000</v>
      </c>
      <c r="C35" s="276">
        <v>0</v>
      </c>
      <c r="D35" s="273">
        <v>0</v>
      </c>
      <c r="E35" s="273">
        <f t="shared" si="11"/>
        <v>5000</v>
      </c>
      <c r="F35" s="274"/>
      <c r="G35" s="273">
        <v>5000</v>
      </c>
      <c r="H35" s="273">
        <v>0</v>
      </c>
      <c r="I35" s="275">
        <f t="shared" si="12"/>
        <v>5000</v>
      </c>
    </row>
    <row r="36" spans="1:9" ht="15.75" thickBot="1">
      <c r="A36" s="267">
        <v>2054</v>
      </c>
      <c r="B36" s="278">
        <v>5000</v>
      </c>
      <c r="C36" s="276">
        <v>0</v>
      </c>
      <c r="D36" s="273">
        <v>0</v>
      </c>
      <c r="E36" s="273">
        <f t="shared" si="11"/>
        <v>5000</v>
      </c>
      <c r="F36" s="274"/>
      <c r="G36" s="273">
        <v>5000</v>
      </c>
      <c r="H36" s="273">
        <v>0</v>
      </c>
      <c r="I36" s="275">
        <f t="shared" si="12"/>
        <v>5000</v>
      </c>
    </row>
    <row r="37" spans="1:9" ht="15.75" thickBot="1">
      <c r="A37" s="267">
        <v>2056</v>
      </c>
      <c r="B37" s="278">
        <v>5000</v>
      </c>
      <c r="C37" s="276">
        <v>0</v>
      </c>
      <c r="D37" s="273">
        <v>0</v>
      </c>
      <c r="E37" s="273">
        <f t="shared" si="11"/>
        <v>5000</v>
      </c>
      <c r="F37" s="274"/>
      <c r="G37" s="273">
        <v>5000</v>
      </c>
      <c r="H37" s="273">
        <v>0</v>
      </c>
      <c r="I37" s="275">
        <f t="shared" si="12"/>
        <v>5000</v>
      </c>
    </row>
    <row r="38" spans="1:9" ht="15.75" thickBot="1">
      <c r="A38" s="267">
        <v>2058</v>
      </c>
      <c r="B38" s="278">
        <v>5000</v>
      </c>
      <c r="C38" s="276">
        <v>0</v>
      </c>
      <c r="D38" s="273">
        <v>0</v>
      </c>
      <c r="E38" s="273">
        <f t="shared" si="11"/>
        <v>5000</v>
      </c>
      <c r="F38" s="274"/>
      <c r="G38" s="273">
        <v>5000</v>
      </c>
      <c r="H38" s="273">
        <v>0</v>
      </c>
      <c r="I38" s="275">
        <f t="shared" si="12"/>
        <v>5000</v>
      </c>
    </row>
    <row r="39" spans="1:9" ht="15.75" thickBot="1">
      <c r="A39" s="271">
        <v>2060</v>
      </c>
      <c r="B39" s="273">
        <v>5000</v>
      </c>
      <c r="C39" s="273">
        <v>3000000</v>
      </c>
      <c r="D39" s="273">
        <v>0</v>
      </c>
      <c r="E39" s="273">
        <f t="shared" si="11"/>
        <v>3005000</v>
      </c>
      <c r="F39" s="274"/>
      <c r="G39" s="273">
        <v>5000</v>
      </c>
      <c r="H39" s="273">
        <v>1000000</v>
      </c>
      <c r="I39" s="275">
        <f t="shared" si="12"/>
        <v>1005000</v>
      </c>
    </row>
    <row r="40" spans="1:9" ht="16.5" thickBot="1">
      <c r="A40" s="272" t="s">
        <v>231</v>
      </c>
      <c r="B40" s="280">
        <f>SUM(B20:B39)</f>
        <v>100000</v>
      </c>
      <c r="C40" s="280">
        <f>SUM(C20:C39)</f>
        <v>21000000</v>
      </c>
      <c r="D40" s="280">
        <f>SUM(D20:D39)</f>
        <v>200000</v>
      </c>
      <c r="E40" s="280">
        <f>SUM(E20:E39)</f>
        <v>21300000</v>
      </c>
      <c r="F40" s="281"/>
      <c r="G40" s="273">
        <v>5000</v>
      </c>
      <c r="H40" s="280">
        <f>SUM(H20:H39)</f>
        <v>2000000</v>
      </c>
      <c r="I40" s="280">
        <f>SUM(I20:I39)</f>
        <v>2085000</v>
      </c>
    </row>
    <row r="42" spans="1:9">
      <c r="A42" t="s">
        <v>254</v>
      </c>
    </row>
  </sheetData>
  <mergeCells count="3">
    <mergeCell ref="A18:A19"/>
    <mergeCell ref="B18:E18"/>
    <mergeCell ref="G18:I18"/>
  </mergeCells>
  <pageMargins left="0.7" right="0.7" top="0.75" bottom="0.75" header="0.3" footer="0.3"/>
  <pageSetup paperSize="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5D8F-B6A8-4EAD-B7DD-FDD2B0A9FA4B}">
  <sheetPr>
    <tabColor theme="9" tint="0.59999389629810485"/>
  </sheetPr>
  <dimension ref="A1"/>
  <sheetViews>
    <sheetView topLeftCell="A25"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E090-3AF7-4F38-944B-A2E5DF57FD25}">
  <sheetPr>
    <tabColor theme="9" tint="0.59999389629810485"/>
  </sheetPr>
  <dimension ref="A3:C14"/>
  <sheetViews>
    <sheetView workbookViewId="0"/>
  </sheetViews>
  <sheetFormatPr defaultRowHeight="15"/>
  <cols>
    <col min="1" max="1" width="40.85546875" customWidth="1"/>
    <col min="2" max="3" width="13.85546875" customWidth="1"/>
  </cols>
  <sheetData>
    <row r="3" spans="1:3">
      <c r="B3" s="16"/>
      <c r="C3" s="16"/>
    </row>
    <row r="6" spans="1:3">
      <c r="C6" s="79"/>
    </row>
    <row r="7" spans="1:3">
      <c r="A7" s="34"/>
      <c r="B7" s="132"/>
    </row>
    <row r="8" spans="1:3">
      <c r="A8" s="34"/>
      <c r="B8" s="19"/>
    </row>
    <row r="11" spans="1:3">
      <c r="A11" t="s">
        <v>64</v>
      </c>
      <c r="B11" s="137">
        <v>0</v>
      </c>
    </row>
    <row r="12" spans="1:3">
      <c r="A12" t="s">
        <v>65</v>
      </c>
      <c r="B12" s="137">
        <v>0</v>
      </c>
    </row>
    <row r="13" spans="1:3">
      <c r="B13" s="137"/>
    </row>
    <row r="14" spans="1:3">
      <c r="A14" t="s">
        <v>66</v>
      </c>
      <c r="B14" s="137">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68E0-443F-4E8D-A3AE-5C16C0B21695}">
  <sheetPr>
    <tabColor theme="9" tint="0.59999389629810485"/>
  </sheetPr>
  <dimension ref="A1:AN39"/>
  <sheetViews>
    <sheetView zoomScale="98" zoomScaleNormal="98" workbookViewId="0"/>
  </sheetViews>
  <sheetFormatPr defaultColWidth="8.85546875" defaultRowHeight="15"/>
  <cols>
    <col min="1" max="1" width="43.42578125" customWidth="1"/>
    <col min="2" max="31" width="13.5703125" bestFit="1" customWidth="1"/>
    <col min="32" max="34" width="9.42578125" bestFit="1" customWidth="1"/>
  </cols>
  <sheetData>
    <row r="1" spans="1:40" ht="18.75">
      <c r="A1" s="4" t="s">
        <v>67</v>
      </c>
      <c r="B1" s="8"/>
      <c r="C1" s="8"/>
      <c r="D1" s="8"/>
      <c r="E1" s="8"/>
      <c r="F1" s="8"/>
      <c r="G1" s="8"/>
      <c r="H1" s="8"/>
      <c r="I1" s="8"/>
      <c r="J1" s="8"/>
      <c r="K1" s="8"/>
      <c r="L1" s="8"/>
    </row>
    <row r="2" spans="1:40" ht="18.75">
      <c r="A2" s="4"/>
      <c r="B2" s="41">
        <v>2021</v>
      </c>
      <c r="C2" s="41">
        <v>2022</v>
      </c>
      <c r="D2" s="42">
        <v>2023</v>
      </c>
      <c r="E2" s="42">
        <v>2024</v>
      </c>
      <c r="F2" s="42">
        <v>2025</v>
      </c>
      <c r="G2">
        <f>F2+1</f>
        <v>2026</v>
      </c>
      <c r="H2">
        <f t="shared" ref="H2:X2" si="0">G2+1</f>
        <v>2027</v>
      </c>
      <c r="I2">
        <f t="shared" si="0"/>
        <v>2028</v>
      </c>
      <c r="J2">
        <f t="shared" si="0"/>
        <v>2029</v>
      </c>
      <c r="K2">
        <f t="shared" si="0"/>
        <v>2030</v>
      </c>
      <c r="L2">
        <f t="shared" si="0"/>
        <v>2031</v>
      </c>
      <c r="M2">
        <f t="shared" si="0"/>
        <v>2032</v>
      </c>
      <c r="N2">
        <f t="shared" si="0"/>
        <v>2033</v>
      </c>
      <c r="O2">
        <f t="shared" si="0"/>
        <v>2034</v>
      </c>
      <c r="P2">
        <f t="shared" si="0"/>
        <v>2035</v>
      </c>
      <c r="Q2">
        <f t="shared" si="0"/>
        <v>2036</v>
      </c>
      <c r="R2">
        <f t="shared" si="0"/>
        <v>2037</v>
      </c>
      <c r="S2">
        <f t="shared" si="0"/>
        <v>2038</v>
      </c>
      <c r="T2">
        <f t="shared" si="0"/>
        <v>2039</v>
      </c>
      <c r="U2">
        <f t="shared" si="0"/>
        <v>2040</v>
      </c>
      <c r="V2">
        <f t="shared" si="0"/>
        <v>2041</v>
      </c>
      <c r="W2">
        <f t="shared" si="0"/>
        <v>2042</v>
      </c>
      <c r="X2">
        <f t="shared" si="0"/>
        <v>2043</v>
      </c>
    </row>
    <row r="3" spans="1:40">
      <c r="A3" s="13" t="s">
        <v>68</v>
      </c>
      <c r="AK3" s="2"/>
      <c r="AL3" s="2"/>
      <c r="AM3" s="2"/>
      <c r="AN3" s="2"/>
    </row>
    <row r="4" spans="1:40">
      <c r="A4" s="18" t="s">
        <v>69</v>
      </c>
      <c r="B4" s="30" t="s">
        <v>4</v>
      </c>
      <c r="C4" s="30" t="s">
        <v>4</v>
      </c>
      <c r="D4" s="30" t="s">
        <v>4</v>
      </c>
      <c r="E4" s="48" t="e">
        <f>('Truck VMT VHT reductions'!$B$14/2*E23)+('Truck VMT VHT reductions'!$B$14/2*Emissions!E28)</f>
        <v>#REF!</v>
      </c>
      <c r="F4" s="48" t="e">
        <f>E4</f>
        <v>#REF!</v>
      </c>
      <c r="G4" s="48" t="e">
        <f t="shared" ref="G4:U4" si="1">F4</f>
        <v>#REF!</v>
      </c>
      <c r="H4" s="48" t="e">
        <f t="shared" si="1"/>
        <v>#REF!</v>
      </c>
      <c r="I4" s="48" t="e">
        <f t="shared" si="1"/>
        <v>#REF!</v>
      </c>
      <c r="J4" s="48" t="e">
        <f t="shared" si="1"/>
        <v>#REF!</v>
      </c>
      <c r="K4" s="48" t="e">
        <f t="shared" si="1"/>
        <v>#REF!</v>
      </c>
      <c r="L4" s="48" t="e">
        <f t="shared" si="1"/>
        <v>#REF!</v>
      </c>
      <c r="M4" s="48" t="e">
        <f t="shared" si="1"/>
        <v>#REF!</v>
      </c>
      <c r="N4" s="48" t="e">
        <f t="shared" si="1"/>
        <v>#REF!</v>
      </c>
      <c r="O4" s="48" t="e">
        <f t="shared" si="1"/>
        <v>#REF!</v>
      </c>
      <c r="P4" s="48" t="e">
        <f t="shared" si="1"/>
        <v>#REF!</v>
      </c>
      <c r="Q4" s="48" t="e">
        <f t="shared" si="1"/>
        <v>#REF!</v>
      </c>
      <c r="R4" s="48" t="e">
        <f t="shared" si="1"/>
        <v>#REF!</v>
      </c>
      <c r="S4" s="48" t="e">
        <f t="shared" si="1"/>
        <v>#REF!</v>
      </c>
      <c r="T4" s="48" t="e">
        <f t="shared" si="1"/>
        <v>#REF!</v>
      </c>
      <c r="U4" s="48" t="e">
        <f t="shared" si="1"/>
        <v>#REF!</v>
      </c>
      <c r="V4" s="48" t="e">
        <f t="shared" ref="V4:X4" si="2">U4</f>
        <v>#REF!</v>
      </c>
      <c r="W4" s="48" t="e">
        <f t="shared" si="2"/>
        <v>#REF!</v>
      </c>
      <c r="X4" s="48" t="e">
        <f t="shared" si="2"/>
        <v>#REF!</v>
      </c>
      <c r="Y4" s="48"/>
      <c r="Z4" s="48"/>
      <c r="AA4" s="48"/>
      <c r="AB4" s="48"/>
      <c r="AC4" s="48"/>
      <c r="AD4" s="48"/>
      <c r="AE4" s="48"/>
      <c r="AK4" s="5"/>
      <c r="AL4" s="5"/>
      <c r="AM4" s="5"/>
      <c r="AN4" s="5"/>
    </row>
    <row r="5" spans="1:40">
      <c r="A5" s="18" t="s">
        <v>70</v>
      </c>
      <c r="B5" s="30" t="s">
        <v>4</v>
      </c>
      <c r="C5" s="30" t="s">
        <v>4</v>
      </c>
      <c r="D5" s="30" t="s">
        <v>4</v>
      </c>
      <c r="E5" s="48" t="e">
        <f>('Truck VMT VHT reductions'!$B$14/2*E24)+('Truck VMT VHT reductions'!$B$14/2*Emissions!E29)</f>
        <v>#REF!</v>
      </c>
      <c r="F5" s="48" t="e">
        <f t="shared" ref="F5:U7" si="3">E5</f>
        <v>#REF!</v>
      </c>
      <c r="G5" s="48" t="e">
        <f t="shared" si="3"/>
        <v>#REF!</v>
      </c>
      <c r="H5" s="48" t="e">
        <f t="shared" si="3"/>
        <v>#REF!</v>
      </c>
      <c r="I5" s="48" t="e">
        <f t="shared" si="3"/>
        <v>#REF!</v>
      </c>
      <c r="J5" s="48" t="e">
        <f t="shared" si="3"/>
        <v>#REF!</v>
      </c>
      <c r="K5" s="48" t="e">
        <f t="shared" si="3"/>
        <v>#REF!</v>
      </c>
      <c r="L5" s="48" t="e">
        <f t="shared" si="3"/>
        <v>#REF!</v>
      </c>
      <c r="M5" s="48" t="e">
        <f t="shared" si="3"/>
        <v>#REF!</v>
      </c>
      <c r="N5" s="48" t="e">
        <f t="shared" si="3"/>
        <v>#REF!</v>
      </c>
      <c r="O5" s="48" t="e">
        <f t="shared" si="3"/>
        <v>#REF!</v>
      </c>
      <c r="P5" s="48" t="e">
        <f t="shared" si="3"/>
        <v>#REF!</v>
      </c>
      <c r="Q5" s="48" t="e">
        <f t="shared" si="3"/>
        <v>#REF!</v>
      </c>
      <c r="R5" s="48" t="e">
        <f t="shared" si="3"/>
        <v>#REF!</v>
      </c>
      <c r="S5" s="48" t="e">
        <f t="shared" si="3"/>
        <v>#REF!</v>
      </c>
      <c r="T5" s="48" t="e">
        <f t="shared" si="3"/>
        <v>#REF!</v>
      </c>
      <c r="U5" s="48" t="e">
        <f t="shared" si="3"/>
        <v>#REF!</v>
      </c>
      <c r="V5" s="48" t="e">
        <f t="shared" ref="V5:X5" si="4">U5</f>
        <v>#REF!</v>
      </c>
      <c r="W5" s="48" t="e">
        <f t="shared" si="4"/>
        <v>#REF!</v>
      </c>
      <c r="X5" s="48" t="e">
        <f t="shared" si="4"/>
        <v>#REF!</v>
      </c>
      <c r="Y5" s="48"/>
      <c r="Z5" s="48"/>
      <c r="AA5" s="48"/>
      <c r="AB5" s="48"/>
      <c r="AC5" s="48"/>
      <c r="AD5" s="48"/>
      <c r="AE5" s="48"/>
    </row>
    <row r="6" spans="1:40" ht="18">
      <c r="A6" s="72" t="s">
        <v>71</v>
      </c>
      <c r="B6" s="30" t="s">
        <v>4</v>
      </c>
      <c r="C6" s="30" t="s">
        <v>4</v>
      </c>
      <c r="D6" s="30" t="s">
        <v>4</v>
      </c>
      <c r="E6" s="48" t="e">
        <f>('Truck VMT VHT reductions'!$B$14/2*E25)+('Truck VMT VHT reductions'!$B$14/2*Emissions!E30)</f>
        <v>#REF!</v>
      </c>
      <c r="F6" s="48" t="e">
        <f t="shared" si="3"/>
        <v>#REF!</v>
      </c>
      <c r="G6" s="48" t="e">
        <f t="shared" si="3"/>
        <v>#REF!</v>
      </c>
      <c r="H6" s="48" t="e">
        <f t="shared" si="3"/>
        <v>#REF!</v>
      </c>
      <c r="I6" s="48" t="e">
        <f t="shared" si="3"/>
        <v>#REF!</v>
      </c>
      <c r="J6" s="48" t="e">
        <f t="shared" si="3"/>
        <v>#REF!</v>
      </c>
      <c r="K6" s="48" t="e">
        <f t="shared" si="3"/>
        <v>#REF!</v>
      </c>
      <c r="L6" s="48" t="e">
        <f t="shared" si="3"/>
        <v>#REF!</v>
      </c>
      <c r="M6" s="48" t="e">
        <f t="shared" si="3"/>
        <v>#REF!</v>
      </c>
      <c r="N6" s="48" t="e">
        <f t="shared" si="3"/>
        <v>#REF!</v>
      </c>
      <c r="O6" s="48" t="e">
        <f t="shared" si="3"/>
        <v>#REF!</v>
      </c>
      <c r="P6" s="48" t="e">
        <f t="shared" si="3"/>
        <v>#REF!</v>
      </c>
      <c r="Q6" s="48" t="e">
        <f t="shared" si="3"/>
        <v>#REF!</v>
      </c>
      <c r="R6" s="48" t="e">
        <f t="shared" si="3"/>
        <v>#REF!</v>
      </c>
      <c r="S6" s="48" t="e">
        <f t="shared" si="3"/>
        <v>#REF!</v>
      </c>
      <c r="T6" s="48" t="e">
        <f t="shared" si="3"/>
        <v>#REF!</v>
      </c>
      <c r="U6" s="48" t="e">
        <f t="shared" si="3"/>
        <v>#REF!</v>
      </c>
      <c r="V6" s="48" t="e">
        <f t="shared" ref="V6:X6" si="5">U6</f>
        <v>#REF!</v>
      </c>
      <c r="W6" s="48" t="e">
        <f t="shared" si="5"/>
        <v>#REF!</v>
      </c>
      <c r="X6" s="48" t="e">
        <f t="shared" si="5"/>
        <v>#REF!</v>
      </c>
      <c r="Y6" s="48"/>
      <c r="Z6" s="48"/>
      <c r="AA6" s="48"/>
      <c r="AB6" s="48"/>
      <c r="AC6" s="48"/>
      <c r="AD6" s="48"/>
      <c r="AE6" s="48"/>
      <c r="AK6" s="2"/>
      <c r="AL6" s="2"/>
      <c r="AM6" s="2"/>
      <c r="AN6" s="2"/>
    </row>
    <row r="7" spans="1:40">
      <c r="A7" s="18" t="s">
        <v>72</v>
      </c>
      <c r="B7" s="30" t="s">
        <v>4</v>
      </c>
      <c r="C7" s="30" t="s">
        <v>4</v>
      </c>
      <c r="D7" s="30" t="s">
        <v>4</v>
      </c>
      <c r="E7" s="48" t="e">
        <f>('Truck VMT VHT reductions'!$B$14/2*E26)+('Truck VMT VHT reductions'!$B$14/2*Emissions!E31)</f>
        <v>#REF!</v>
      </c>
      <c r="F7" s="48" t="e">
        <f t="shared" si="3"/>
        <v>#REF!</v>
      </c>
      <c r="G7" s="48" t="e">
        <f t="shared" si="3"/>
        <v>#REF!</v>
      </c>
      <c r="H7" s="48" t="e">
        <f t="shared" si="3"/>
        <v>#REF!</v>
      </c>
      <c r="I7" s="48" t="e">
        <f t="shared" si="3"/>
        <v>#REF!</v>
      </c>
      <c r="J7" s="48" t="e">
        <f t="shared" si="3"/>
        <v>#REF!</v>
      </c>
      <c r="K7" s="48" t="e">
        <f t="shared" si="3"/>
        <v>#REF!</v>
      </c>
      <c r="L7" s="48" t="e">
        <f t="shared" si="3"/>
        <v>#REF!</v>
      </c>
      <c r="M7" s="48" t="e">
        <f t="shared" si="3"/>
        <v>#REF!</v>
      </c>
      <c r="N7" s="48" t="e">
        <f t="shared" si="3"/>
        <v>#REF!</v>
      </c>
      <c r="O7" s="48" t="e">
        <f t="shared" si="3"/>
        <v>#REF!</v>
      </c>
      <c r="P7" s="48" t="e">
        <f t="shared" si="3"/>
        <v>#REF!</v>
      </c>
      <c r="Q7" s="48" t="e">
        <f t="shared" si="3"/>
        <v>#REF!</v>
      </c>
      <c r="R7" s="48" t="e">
        <f t="shared" si="3"/>
        <v>#REF!</v>
      </c>
      <c r="S7" s="48" t="e">
        <f t="shared" si="3"/>
        <v>#REF!</v>
      </c>
      <c r="T7" s="48" t="e">
        <f t="shared" si="3"/>
        <v>#REF!</v>
      </c>
      <c r="U7" s="48" t="e">
        <f t="shared" si="3"/>
        <v>#REF!</v>
      </c>
      <c r="V7" s="48" t="e">
        <f t="shared" ref="V7:X7" si="6">U7</f>
        <v>#REF!</v>
      </c>
      <c r="W7" s="48" t="e">
        <f t="shared" si="6"/>
        <v>#REF!</v>
      </c>
      <c r="X7" s="48" t="e">
        <f t="shared" si="6"/>
        <v>#REF!</v>
      </c>
      <c r="Y7" s="48"/>
      <c r="Z7" s="48"/>
      <c r="AA7" s="48"/>
      <c r="AB7" s="48"/>
      <c r="AC7" s="48"/>
      <c r="AD7" s="48"/>
      <c r="AE7" s="48"/>
      <c r="AK7" s="5"/>
      <c r="AL7" s="5"/>
      <c r="AM7" s="5"/>
      <c r="AN7" s="5"/>
    </row>
    <row r="8" spans="1:40" ht="15" customHeight="1">
      <c r="A8" s="40" t="s">
        <v>73</v>
      </c>
      <c r="B8" s="30" t="s">
        <v>4</v>
      </c>
      <c r="C8" s="30" t="s">
        <v>4</v>
      </c>
      <c r="D8" s="30" t="s">
        <v>4</v>
      </c>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6"/>
      <c r="AG8" s="6"/>
      <c r="AH8" s="6"/>
      <c r="AI8" s="6"/>
      <c r="AJ8" s="6"/>
    </row>
    <row r="9" spans="1:40" ht="15" customHeight="1">
      <c r="A9" s="18" t="s">
        <v>74</v>
      </c>
      <c r="B9" s="30"/>
      <c r="C9" s="30"/>
      <c r="D9" s="30"/>
      <c r="E9" s="31" t="e">
        <f>E4*'Look Up Data'!H53</f>
        <v>#REF!</v>
      </c>
      <c r="F9" s="31" t="e">
        <f>F4*'Look Up Data'!I53</f>
        <v>#REF!</v>
      </c>
      <c r="G9" s="31" t="e">
        <f>G4*'Look Up Data'!J53</f>
        <v>#REF!</v>
      </c>
      <c r="H9" s="31" t="e">
        <f>H4*'Look Up Data'!K53</f>
        <v>#REF!</v>
      </c>
      <c r="I9" s="31" t="e">
        <f>I4*'Look Up Data'!L53</f>
        <v>#REF!</v>
      </c>
      <c r="J9" s="31" t="e">
        <f>J4*'Look Up Data'!M53</f>
        <v>#REF!</v>
      </c>
      <c r="K9" s="31" t="e">
        <f>K4*'Look Up Data'!N53</f>
        <v>#REF!</v>
      </c>
      <c r="L9" s="31" t="e">
        <f>L4*'Look Up Data'!O53</f>
        <v>#REF!</v>
      </c>
      <c r="M9" s="31" t="e">
        <f>M4*'Look Up Data'!P53</f>
        <v>#REF!</v>
      </c>
      <c r="N9" s="31" t="e">
        <f>N4*'Look Up Data'!Q53</f>
        <v>#REF!</v>
      </c>
      <c r="O9" s="31" t="e">
        <f>O4*'Look Up Data'!R53</f>
        <v>#REF!</v>
      </c>
      <c r="P9" s="31" t="e">
        <f>P4*'Look Up Data'!S53</f>
        <v>#REF!</v>
      </c>
      <c r="Q9" s="31" t="e">
        <f>Q4*'Look Up Data'!T53</f>
        <v>#REF!</v>
      </c>
      <c r="R9" s="31" t="e">
        <f>R4*'Look Up Data'!U53</f>
        <v>#REF!</v>
      </c>
      <c r="S9" s="31" t="e">
        <f>S4*'Look Up Data'!V53</f>
        <v>#REF!</v>
      </c>
      <c r="T9" s="31" t="e">
        <f>T4*'Look Up Data'!W53</f>
        <v>#REF!</v>
      </c>
      <c r="U9" s="31" t="e">
        <f>U4*'Look Up Data'!X53</f>
        <v>#REF!</v>
      </c>
      <c r="V9" s="31" t="e">
        <f>V4*'Look Up Data'!Y53</f>
        <v>#REF!</v>
      </c>
      <c r="W9" s="31" t="e">
        <f>W4*'Look Up Data'!Z53</f>
        <v>#REF!</v>
      </c>
      <c r="X9" s="31" t="e">
        <f>X4*'Look Up Data'!AA53</f>
        <v>#REF!</v>
      </c>
      <c r="Y9" s="31"/>
      <c r="Z9" s="31"/>
      <c r="AA9" s="31"/>
      <c r="AB9" s="31"/>
      <c r="AC9" s="31"/>
      <c r="AD9" s="31"/>
      <c r="AE9" s="31"/>
      <c r="AF9" s="6"/>
      <c r="AG9" s="6"/>
      <c r="AH9" s="6"/>
      <c r="AI9" s="6"/>
      <c r="AJ9" s="6"/>
    </row>
    <row r="10" spans="1:40" ht="15" customHeight="1">
      <c r="A10" s="18" t="s">
        <v>75</v>
      </c>
      <c r="B10" s="30"/>
      <c r="C10" s="30"/>
      <c r="D10" s="30"/>
      <c r="E10" s="31" t="e">
        <f>E5*'Look Up Data'!H54</f>
        <v>#REF!</v>
      </c>
      <c r="F10" s="31" t="e">
        <f>F5*'Look Up Data'!I54</f>
        <v>#REF!</v>
      </c>
      <c r="G10" s="31" t="e">
        <f>G5*'Look Up Data'!J54</f>
        <v>#REF!</v>
      </c>
      <c r="H10" s="31" t="e">
        <f>H5*'Look Up Data'!K54</f>
        <v>#REF!</v>
      </c>
      <c r="I10" s="31" t="e">
        <f>I5*'Look Up Data'!L54</f>
        <v>#REF!</v>
      </c>
      <c r="J10" s="31" t="e">
        <f>J5*'Look Up Data'!M54</f>
        <v>#REF!</v>
      </c>
      <c r="K10" s="31" t="e">
        <f>K5*'Look Up Data'!N54</f>
        <v>#REF!</v>
      </c>
      <c r="L10" s="31" t="e">
        <f>L5*'Look Up Data'!O54</f>
        <v>#REF!</v>
      </c>
      <c r="M10" s="31" t="e">
        <f>M5*'Look Up Data'!P54</f>
        <v>#REF!</v>
      </c>
      <c r="N10" s="31" t="e">
        <f>N5*'Look Up Data'!Q54</f>
        <v>#REF!</v>
      </c>
      <c r="O10" s="31" t="e">
        <f>O5*'Look Up Data'!R54</f>
        <v>#REF!</v>
      </c>
      <c r="P10" s="31" t="e">
        <f>P5*'Look Up Data'!S54</f>
        <v>#REF!</v>
      </c>
      <c r="Q10" s="31" t="e">
        <f>Q5*'Look Up Data'!T54</f>
        <v>#REF!</v>
      </c>
      <c r="R10" s="31" t="e">
        <f>R5*'Look Up Data'!U54</f>
        <v>#REF!</v>
      </c>
      <c r="S10" s="31" t="e">
        <f>S5*'Look Up Data'!V54</f>
        <v>#REF!</v>
      </c>
      <c r="T10" s="31" t="e">
        <f>T5*'Look Up Data'!W54</f>
        <v>#REF!</v>
      </c>
      <c r="U10" s="31" t="e">
        <f>U5*'Look Up Data'!X54</f>
        <v>#REF!</v>
      </c>
      <c r="V10" s="31" t="e">
        <f>V5*'Look Up Data'!Y54</f>
        <v>#REF!</v>
      </c>
      <c r="W10" s="31" t="e">
        <f>W5*'Look Up Data'!Z54</f>
        <v>#REF!</v>
      </c>
      <c r="X10" s="31" t="e">
        <f>X5*'Look Up Data'!AA54</f>
        <v>#REF!</v>
      </c>
      <c r="Y10" s="31"/>
      <c r="Z10" s="31"/>
      <c r="AA10" s="31"/>
      <c r="AB10" s="31"/>
      <c r="AC10" s="31"/>
      <c r="AD10" s="31"/>
      <c r="AE10" s="31"/>
      <c r="AF10" s="6"/>
      <c r="AG10" s="6"/>
      <c r="AH10" s="6"/>
      <c r="AI10" s="6"/>
      <c r="AJ10" s="6"/>
    </row>
    <row r="11" spans="1:40" ht="15" customHeight="1">
      <c r="A11" s="72" t="s">
        <v>76</v>
      </c>
      <c r="B11" s="82"/>
      <c r="C11" s="82"/>
      <c r="D11" s="82"/>
      <c r="E11" s="32" t="e">
        <f>E6*'Look Up Data'!H55</f>
        <v>#REF!</v>
      </c>
      <c r="F11" s="32" t="e">
        <f>F6*'Look Up Data'!I55</f>
        <v>#REF!</v>
      </c>
      <c r="G11" s="32" t="e">
        <f>G6*'Look Up Data'!J55</f>
        <v>#REF!</v>
      </c>
      <c r="H11" s="32" t="e">
        <f>H6*'Look Up Data'!K55</f>
        <v>#REF!</v>
      </c>
      <c r="I11" s="32" t="e">
        <f>I6*'Look Up Data'!L55</f>
        <v>#REF!</v>
      </c>
      <c r="J11" s="32" t="e">
        <f>J6*'Look Up Data'!M55</f>
        <v>#REF!</v>
      </c>
      <c r="K11" s="32" t="e">
        <f>K6*'Look Up Data'!N55</f>
        <v>#REF!</v>
      </c>
      <c r="L11" s="32" t="e">
        <f>L6*'Look Up Data'!O55</f>
        <v>#REF!</v>
      </c>
      <c r="M11" s="32" t="e">
        <f>M6*'Look Up Data'!P55</f>
        <v>#REF!</v>
      </c>
      <c r="N11" s="32" t="e">
        <f>N6*'Look Up Data'!Q55</f>
        <v>#REF!</v>
      </c>
      <c r="O11" s="32" t="e">
        <f>O6*'Look Up Data'!R55</f>
        <v>#REF!</v>
      </c>
      <c r="P11" s="32" t="e">
        <f>P6*'Look Up Data'!S55</f>
        <v>#REF!</v>
      </c>
      <c r="Q11" s="32" t="e">
        <f>Q6*'Look Up Data'!T55</f>
        <v>#REF!</v>
      </c>
      <c r="R11" s="32" t="e">
        <f>R6*'Look Up Data'!U55</f>
        <v>#REF!</v>
      </c>
      <c r="S11" s="32" t="e">
        <f>S6*'Look Up Data'!V55</f>
        <v>#REF!</v>
      </c>
      <c r="T11" s="32" t="e">
        <f>T6*'Look Up Data'!W55</f>
        <v>#REF!</v>
      </c>
      <c r="U11" s="32" t="e">
        <f>U6*'Look Up Data'!X55</f>
        <v>#REF!</v>
      </c>
      <c r="V11" s="32" t="e">
        <f>V6*'Look Up Data'!Y55</f>
        <v>#REF!</v>
      </c>
      <c r="W11" s="32" t="e">
        <f>W6*'Look Up Data'!Z55</f>
        <v>#REF!</v>
      </c>
      <c r="X11" s="32" t="e">
        <f>X6*'Look Up Data'!AA55</f>
        <v>#REF!</v>
      </c>
      <c r="Y11" s="31"/>
      <c r="Z11" s="31"/>
      <c r="AA11" s="31"/>
      <c r="AB11" s="31"/>
      <c r="AC11" s="31"/>
      <c r="AD11" s="31"/>
      <c r="AE11" s="31"/>
      <c r="AF11" s="6"/>
      <c r="AG11" s="6"/>
      <c r="AH11" s="6"/>
      <c r="AI11" s="6"/>
      <c r="AJ11" s="6"/>
    </row>
    <row r="12" spans="1:40" ht="15" customHeight="1">
      <c r="A12" s="18" t="s">
        <v>77</v>
      </c>
      <c r="B12" s="30"/>
      <c r="C12" s="30"/>
      <c r="D12" s="30"/>
      <c r="E12" s="31" t="e">
        <f>E7*'Look Up Data'!H56</f>
        <v>#REF!</v>
      </c>
      <c r="F12" s="31" t="e">
        <f>F7*'Look Up Data'!I56</f>
        <v>#REF!</v>
      </c>
      <c r="G12" s="31" t="e">
        <f>G7*'Look Up Data'!J56</f>
        <v>#REF!</v>
      </c>
      <c r="H12" s="31" t="e">
        <f>H7*'Look Up Data'!K56</f>
        <v>#REF!</v>
      </c>
      <c r="I12" s="31" t="e">
        <f>I7*'Look Up Data'!L56</f>
        <v>#REF!</v>
      </c>
      <c r="J12" s="31" t="e">
        <f>J7*'Look Up Data'!M56</f>
        <v>#REF!</v>
      </c>
      <c r="K12" s="31" t="e">
        <f>K7*'Look Up Data'!N56</f>
        <v>#REF!</v>
      </c>
      <c r="L12" s="31" t="e">
        <f>L7*'Look Up Data'!O56</f>
        <v>#REF!</v>
      </c>
      <c r="M12" s="31" t="e">
        <f>M7*'Look Up Data'!P56</f>
        <v>#REF!</v>
      </c>
      <c r="N12" s="31" t="e">
        <f>N7*'Look Up Data'!Q56</f>
        <v>#REF!</v>
      </c>
      <c r="O12" s="31" t="e">
        <f>O7*'Look Up Data'!R56</f>
        <v>#REF!</v>
      </c>
      <c r="P12" s="31" t="e">
        <f>P7*'Look Up Data'!S56</f>
        <v>#REF!</v>
      </c>
      <c r="Q12" s="31" t="e">
        <f>Q7*'Look Up Data'!T56</f>
        <v>#REF!</v>
      </c>
      <c r="R12" s="31" t="e">
        <f>R7*'Look Up Data'!U56</f>
        <v>#REF!</v>
      </c>
      <c r="S12" s="31" t="e">
        <f>S7*'Look Up Data'!V56</f>
        <v>#REF!</v>
      </c>
      <c r="T12" s="31" t="e">
        <f>T7*'Look Up Data'!W56</f>
        <v>#REF!</v>
      </c>
      <c r="U12" s="31" t="e">
        <f>U7*'Look Up Data'!X56</f>
        <v>#REF!</v>
      </c>
      <c r="V12" s="31" t="e">
        <f>V7*'Look Up Data'!Y56</f>
        <v>#REF!</v>
      </c>
      <c r="W12" s="31" t="e">
        <f>W7*'Look Up Data'!Z56</f>
        <v>#REF!</v>
      </c>
      <c r="X12" s="31" t="e">
        <f>X7*'Look Up Data'!AA56</f>
        <v>#REF!</v>
      </c>
      <c r="Y12" s="31"/>
      <c r="Z12" s="31"/>
      <c r="AA12" s="31"/>
      <c r="AB12" s="31"/>
      <c r="AC12" s="31"/>
      <c r="AD12" s="31"/>
      <c r="AE12" s="31"/>
      <c r="AF12" s="6"/>
      <c r="AG12" s="6"/>
      <c r="AH12" s="6"/>
      <c r="AI12" s="6"/>
      <c r="AJ12" s="6"/>
    </row>
    <row r="13" spans="1:40" ht="15" customHeight="1">
      <c r="A13" s="23" t="s">
        <v>78</v>
      </c>
      <c r="B13" s="82"/>
      <c r="C13" s="82"/>
      <c r="D13" s="82"/>
      <c r="E13" s="32" t="e">
        <f t="shared" ref="E13:F13" si="7">E9+E10+E12</f>
        <v>#REF!</v>
      </c>
      <c r="F13" s="32" t="e">
        <f t="shared" si="7"/>
        <v>#REF!</v>
      </c>
      <c r="G13" s="32" t="e">
        <f>G9+G10+G12</f>
        <v>#REF!</v>
      </c>
      <c r="H13" s="32" t="e">
        <f t="shared" ref="H13:U13" si="8">H9+H10+H12</f>
        <v>#REF!</v>
      </c>
      <c r="I13" s="32" t="e">
        <f t="shared" si="8"/>
        <v>#REF!</v>
      </c>
      <c r="J13" s="32" t="e">
        <f t="shared" si="8"/>
        <v>#REF!</v>
      </c>
      <c r="K13" s="32" t="e">
        <f t="shared" si="8"/>
        <v>#REF!</v>
      </c>
      <c r="L13" s="32" t="e">
        <f t="shared" si="8"/>
        <v>#REF!</v>
      </c>
      <c r="M13" s="32" t="e">
        <f t="shared" si="8"/>
        <v>#REF!</v>
      </c>
      <c r="N13" s="32" t="e">
        <f t="shared" si="8"/>
        <v>#REF!</v>
      </c>
      <c r="O13" s="32" t="e">
        <f t="shared" si="8"/>
        <v>#REF!</v>
      </c>
      <c r="P13" s="32" t="e">
        <f t="shared" si="8"/>
        <v>#REF!</v>
      </c>
      <c r="Q13" s="32" t="e">
        <f t="shared" si="8"/>
        <v>#REF!</v>
      </c>
      <c r="R13" s="32" t="e">
        <f t="shared" si="8"/>
        <v>#REF!</v>
      </c>
      <c r="S13" s="32" t="e">
        <f t="shared" si="8"/>
        <v>#REF!</v>
      </c>
      <c r="T13" s="32" t="e">
        <f t="shared" si="8"/>
        <v>#REF!</v>
      </c>
      <c r="U13" s="32" t="e">
        <f t="shared" si="8"/>
        <v>#REF!</v>
      </c>
      <c r="V13" s="32" t="e">
        <f t="shared" ref="V13:X13" si="9">V9+V10+V12</f>
        <v>#REF!</v>
      </c>
      <c r="W13" s="32" t="e">
        <f t="shared" si="9"/>
        <v>#REF!</v>
      </c>
      <c r="X13" s="32" t="e">
        <f t="shared" si="9"/>
        <v>#REF!</v>
      </c>
      <c r="Y13" s="32"/>
      <c r="Z13" s="32"/>
      <c r="AA13" s="32"/>
      <c r="AB13" s="32"/>
      <c r="AC13" s="32"/>
      <c r="AD13" s="32"/>
      <c r="AE13" s="32"/>
      <c r="AF13" s="6"/>
      <c r="AG13" s="6"/>
      <c r="AH13" s="6"/>
      <c r="AI13" s="6"/>
      <c r="AJ13" s="6"/>
    </row>
    <row r="14" spans="1:40">
      <c r="A14" s="23"/>
      <c r="B14" s="30"/>
      <c r="C14" s="30"/>
      <c r="D14" s="30"/>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6"/>
      <c r="AG14" s="6"/>
      <c r="AH14" s="6"/>
      <c r="AI14" s="6"/>
      <c r="AJ14" s="6"/>
    </row>
    <row r="16" spans="1:40">
      <c r="A16" s="43" t="s">
        <v>79</v>
      </c>
      <c r="B16" s="44">
        <v>2021</v>
      </c>
      <c r="C16" s="44">
        <v>2022</v>
      </c>
      <c r="D16" s="42">
        <v>2023</v>
      </c>
      <c r="E16" s="42">
        <v>2024</v>
      </c>
      <c r="F16" s="42">
        <v>2025</v>
      </c>
      <c r="G16" s="45">
        <f>F16+1</f>
        <v>2026</v>
      </c>
      <c r="H16" s="42">
        <f t="shared" ref="H16" si="10">G16+1</f>
        <v>2027</v>
      </c>
      <c r="I16" s="42">
        <f t="shared" ref="I16" si="11">H16+1</f>
        <v>2028</v>
      </c>
      <c r="J16" s="42">
        <f t="shared" ref="J16" si="12">I16+1</f>
        <v>2029</v>
      </c>
      <c r="K16" s="42">
        <f t="shared" ref="K16" si="13">J16+1</f>
        <v>2030</v>
      </c>
      <c r="L16" s="42">
        <f t="shared" ref="L16" si="14">K16+1</f>
        <v>2031</v>
      </c>
      <c r="M16" s="42">
        <f t="shared" ref="M16" si="15">L16+1</f>
        <v>2032</v>
      </c>
      <c r="N16" s="42">
        <f t="shared" ref="N16" si="16">M16+1</f>
        <v>2033</v>
      </c>
      <c r="O16" s="42">
        <f t="shared" ref="O16" si="17">N16+1</f>
        <v>2034</v>
      </c>
      <c r="P16" s="42">
        <f t="shared" ref="P16" si="18">O16+1</f>
        <v>2035</v>
      </c>
      <c r="Q16" s="42">
        <f t="shared" ref="Q16" si="19">P16+1</f>
        <v>2036</v>
      </c>
      <c r="R16" s="42">
        <f t="shared" ref="R16" si="20">Q16+1</f>
        <v>2037</v>
      </c>
      <c r="S16" s="42">
        <f t="shared" ref="S16" si="21">R16+1</f>
        <v>2038</v>
      </c>
      <c r="T16" s="42">
        <f t="shared" ref="T16" si="22">S16+1</f>
        <v>2039</v>
      </c>
      <c r="U16" s="42">
        <f t="shared" ref="U16" si="23">T16+1</f>
        <v>2040</v>
      </c>
      <c r="V16" s="42">
        <f t="shared" ref="V16" si="24">U16+1</f>
        <v>2041</v>
      </c>
      <c r="W16" s="42">
        <f t="shared" ref="W16" si="25">V16+1</f>
        <v>2042</v>
      </c>
      <c r="X16" s="42">
        <f t="shared" ref="X16" si="26">W16+1</f>
        <v>2043</v>
      </c>
      <c r="Y16" s="42">
        <f t="shared" ref="Y16" si="27">X16+1</f>
        <v>2044</v>
      </c>
      <c r="Z16" s="45">
        <f t="shared" ref="Z16" si="28">Y16+1</f>
        <v>2045</v>
      </c>
      <c r="AA16" s="42">
        <f t="shared" ref="AA16" si="29">Z16+1</f>
        <v>2046</v>
      </c>
      <c r="AB16" s="42">
        <f t="shared" ref="AB16" si="30">AA16+1</f>
        <v>2047</v>
      </c>
      <c r="AC16" s="42">
        <f t="shared" ref="AC16" si="31">AB16+1</f>
        <v>2048</v>
      </c>
      <c r="AD16" s="42">
        <f t="shared" ref="AD16" si="32">AC16+1</f>
        <v>2049</v>
      </c>
      <c r="AE16" s="42">
        <f t="shared" ref="AE16" si="33">AD16+1</f>
        <v>2050</v>
      </c>
      <c r="AK16" s="2"/>
      <c r="AL16" s="2"/>
      <c r="AM16" s="2"/>
      <c r="AN16" s="2"/>
    </row>
    <row r="17" spans="1:40">
      <c r="A17" s="13" t="s">
        <v>80</v>
      </c>
      <c r="B17" s="39"/>
      <c r="C17" s="39"/>
      <c r="G17" s="16"/>
      <c r="K17" s="16"/>
      <c r="Z17" s="16"/>
      <c r="AK17" s="2"/>
      <c r="AL17" s="2"/>
      <c r="AM17" s="2"/>
      <c r="AN17" s="2"/>
    </row>
    <row r="18" spans="1:40">
      <c r="A18" s="39" t="s">
        <v>81</v>
      </c>
      <c r="B18" s="49" t="e">
        <f>'Look Up Data'!E36*'Look Up Data'!#REF!</f>
        <v>#REF!</v>
      </c>
      <c r="C18" s="49" t="e">
        <f>'Look Up Data'!F36*'Look Up Data'!#REF!</f>
        <v>#REF!</v>
      </c>
      <c r="D18" s="49" t="e">
        <f>'Look Up Data'!G36*'Look Up Data'!#REF!</f>
        <v>#REF!</v>
      </c>
      <c r="E18" s="49" t="e">
        <f>'Look Up Data'!H36*'Look Up Data'!#REF!</f>
        <v>#REF!</v>
      </c>
      <c r="F18" s="49" t="e">
        <f>'Look Up Data'!I36*'Look Up Data'!#REF!</f>
        <v>#REF!</v>
      </c>
      <c r="G18" s="50" t="e">
        <f>F18*(1-'Look Up Data'!$L36)</f>
        <v>#REF!</v>
      </c>
      <c r="H18" s="51" t="e">
        <f>G18*(1-'Look Up Data'!$L36)</f>
        <v>#REF!</v>
      </c>
      <c r="I18" s="51" t="e">
        <f>H18*(1-'Look Up Data'!$L36)</f>
        <v>#REF!</v>
      </c>
      <c r="J18" s="51" t="e">
        <f>I18*(1-'Look Up Data'!$L36)</f>
        <v>#REF!</v>
      </c>
      <c r="K18" s="51" t="e">
        <f>J18*(1-'Look Up Data'!$L36)</f>
        <v>#REF!</v>
      </c>
      <c r="L18" s="51" t="e">
        <f>K18*(1-'Look Up Data'!$L36)</f>
        <v>#REF!</v>
      </c>
      <c r="M18" s="51" t="e">
        <f>L18*(1-'Look Up Data'!$L36)</f>
        <v>#REF!</v>
      </c>
      <c r="N18" s="51" t="e">
        <f>M18*(1-'Look Up Data'!$L36)</f>
        <v>#REF!</v>
      </c>
      <c r="O18" s="51" t="e">
        <f>N18*(1-'Look Up Data'!$L36)</f>
        <v>#REF!</v>
      </c>
      <c r="P18" s="51" t="e">
        <f>O18*(1-'Look Up Data'!$L36)</f>
        <v>#REF!</v>
      </c>
      <c r="Q18" s="51" t="e">
        <f>P18*(1-'Look Up Data'!$L36)</f>
        <v>#REF!</v>
      </c>
      <c r="R18" s="51" t="e">
        <f>Q18*(1-'Look Up Data'!$L36)</f>
        <v>#REF!</v>
      </c>
      <c r="S18" s="51" t="e">
        <f>R18*(1-'Look Up Data'!$L36)</f>
        <v>#REF!</v>
      </c>
      <c r="T18" s="51" t="e">
        <f>S18*(1-'Look Up Data'!$L36)</f>
        <v>#REF!</v>
      </c>
      <c r="U18" s="51" t="e">
        <f>T18*(1-'Look Up Data'!$L36)</f>
        <v>#REF!</v>
      </c>
      <c r="V18" s="51" t="e">
        <f>U18*(1-'Look Up Data'!$L36)</f>
        <v>#REF!</v>
      </c>
      <c r="W18" s="51" t="e">
        <f>V18*(1-'Look Up Data'!$L36)</f>
        <v>#REF!</v>
      </c>
      <c r="X18" s="51" t="e">
        <f>W18*(1-'Look Up Data'!$L36)</f>
        <v>#REF!</v>
      </c>
      <c r="Y18" s="51" t="e">
        <f>X18*(1-'Look Up Data'!$L36)</f>
        <v>#REF!</v>
      </c>
      <c r="Z18" s="51" t="e">
        <f>Y18*(1-'Look Up Data'!$L36)</f>
        <v>#REF!</v>
      </c>
      <c r="AA18" s="51" t="e">
        <f>Z18*(1-'Look Up Data'!$L36)</f>
        <v>#REF!</v>
      </c>
      <c r="AB18" s="51" t="e">
        <f>AA18*(1-'Look Up Data'!$L36)</f>
        <v>#REF!</v>
      </c>
      <c r="AC18" s="51" t="e">
        <f>AB18*(1-'Look Up Data'!$L36)</f>
        <v>#REF!</v>
      </c>
      <c r="AD18" s="51" t="e">
        <f>AC18*(1-'Look Up Data'!$L36)</f>
        <v>#REF!</v>
      </c>
      <c r="AE18" s="51" t="e">
        <f>AD18*(1-'Look Up Data'!$L36)</f>
        <v>#REF!</v>
      </c>
      <c r="AG18" t="e">
        <f>AE18/B18</f>
        <v>#REF!</v>
      </c>
      <c r="AK18" s="5"/>
      <c r="AL18" s="5"/>
      <c r="AM18" s="5"/>
      <c r="AN18" s="5"/>
    </row>
    <row r="19" spans="1:40">
      <c r="A19" s="39" t="s">
        <v>82</v>
      </c>
      <c r="B19" s="49" t="e">
        <f>'Look Up Data'!E37*'Look Up Data'!#REF!</f>
        <v>#REF!</v>
      </c>
      <c r="C19" s="49" t="e">
        <f>'Look Up Data'!F37*'Look Up Data'!#REF!</f>
        <v>#REF!</v>
      </c>
      <c r="D19" s="49" t="e">
        <f>'Look Up Data'!G37*'Look Up Data'!#REF!</f>
        <v>#REF!</v>
      </c>
      <c r="E19" s="49" t="e">
        <f>'Look Up Data'!H37*'Look Up Data'!#REF!</f>
        <v>#REF!</v>
      </c>
      <c r="F19" s="49" t="e">
        <f>'Look Up Data'!I37*'Look Up Data'!#REF!</f>
        <v>#REF!</v>
      </c>
      <c r="G19" s="50" t="e">
        <f>F19*(1-'Look Up Data'!$L37)</f>
        <v>#REF!</v>
      </c>
      <c r="H19" s="51" t="e">
        <f>G19*(1-'Look Up Data'!$L37)</f>
        <v>#REF!</v>
      </c>
      <c r="I19" s="51" t="e">
        <f>H19*(1-'Look Up Data'!$L37)</f>
        <v>#REF!</v>
      </c>
      <c r="J19" s="51" t="e">
        <f>I19*(1-'Look Up Data'!$L37)</f>
        <v>#REF!</v>
      </c>
      <c r="K19" s="51" t="e">
        <f>J19*(1-'Look Up Data'!$L37)</f>
        <v>#REF!</v>
      </c>
      <c r="L19" s="51" t="e">
        <f>K19*(1-'Look Up Data'!$L37)</f>
        <v>#REF!</v>
      </c>
      <c r="M19" s="51" t="e">
        <f>L19*(1-'Look Up Data'!$L37)</f>
        <v>#REF!</v>
      </c>
      <c r="N19" s="51" t="e">
        <f>M19*(1-'Look Up Data'!$L37)</f>
        <v>#REF!</v>
      </c>
      <c r="O19" s="51" t="e">
        <f>N19*(1-'Look Up Data'!$L37)</f>
        <v>#REF!</v>
      </c>
      <c r="P19" s="51" t="e">
        <f>O19*(1-'Look Up Data'!$L37)</f>
        <v>#REF!</v>
      </c>
      <c r="Q19" s="51" t="e">
        <f>P19*(1-'Look Up Data'!$L37)</f>
        <v>#REF!</v>
      </c>
      <c r="R19" s="51" t="e">
        <f>Q19*(1-'Look Up Data'!$L37)</f>
        <v>#REF!</v>
      </c>
      <c r="S19" s="51" t="e">
        <f>R19*(1-'Look Up Data'!$L37)</f>
        <v>#REF!</v>
      </c>
      <c r="T19" s="51" t="e">
        <f>S19*(1-'Look Up Data'!$L37)</f>
        <v>#REF!</v>
      </c>
      <c r="U19" s="51" t="e">
        <f>T19*(1-'Look Up Data'!$L37)</f>
        <v>#REF!</v>
      </c>
      <c r="V19" s="51" t="e">
        <f>U19*(1-'Look Up Data'!$L37)</f>
        <v>#REF!</v>
      </c>
      <c r="W19" s="51" t="e">
        <f>V19*(1-'Look Up Data'!$L37)</f>
        <v>#REF!</v>
      </c>
      <c r="X19" s="51" t="e">
        <f>W19*(1-'Look Up Data'!$L37)</f>
        <v>#REF!</v>
      </c>
      <c r="Y19" s="51" t="e">
        <f>X19*(1-'Look Up Data'!$L37)</f>
        <v>#REF!</v>
      </c>
      <c r="Z19" s="51" t="e">
        <f>Y19*(1-'Look Up Data'!$L37)</f>
        <v>#REF!</v>
      </c>
      <c r="AA19" s="51" t="e">
        <f>Z19*(1-'Look Up Data'!$L37)</f>
        <v>#REF!</v>
      </c>
      <c r="AB19" s="51" t="e">
        <f>AA19*(1-'Look Up Data'!$L37)</f>
        <v>#REF!</v>
      </c>
      <c r="AC19" s="51" t="e">
        <f>AB19*(1-'Look Up Data'!$L37)</f>
        <v>#REF!</v>
      </c>
      <c r="AD19" s="51" t="e">
        <f>AC19*(1-'Look Up Data'!$L37)</f>
        <v>#REF!</v>
      </c>
      <c r="AE19" s="51" t="e">
        <f>AD19*(1-'Look Up Data'!$L37)</f>
        <v>#REF!</v>
      </c>
    </row>
    <row r="20" spans="1:40" ht="18">
      <c r="A20" s="39" t="s">
        <v>83</v>
      </c>
      <c r="B20" s="49" t="e">
        <f>'Look Up Data'!E38*'Look Up Data'!#REF!</f>
        <v>#REF!</v>
      </c>
      <c r="C20" s="49" t="e">
        <f>'Look Up Data'!F38*'Look Up Data'!#REF!</f>
        <v>#REF!</v>
      </c>
      <c r="D20" s="49" t="e">
        <f>'Look Up Data'!G38*'Look Up Data'!#REF!</f>
        <v>#REF!</v>
      </c>
      <c r="E20" s="49" t="e">
        <f>'Look Up Data'!H38*'Look Up Data'!#REF!</f>
        <v>#REF!</v>
      </c>
      <c r="F20" s="49" t="e">
        <f>'Look Up Data'!I38*'Look Up Data'!#REF!</f>
        <v>#REF!</v>
      </c>
      <c r="G20" s="50" t="e">
        <f>F20*(1-'Look Up Data'!$L38)</f>
        <v>#REF!</v>
      </c>
      <c r="H20" s="51" t="e">
        <f>G20*(1-'Look Up Data'!$L38)</f>
        <v>#REF!</v>
      </c>
      <c r="I20" s="51" t="e">
        <f>H20*(1-'Look Up Data'!$L38)</f>
        <v>#REF!</v>
      </c>
      <c r="J20" s="51" t="e">
        <f>I20*(1-'Look Up Data'!$L38)</f>
        <v>#REF!</v>
      </c>
      <c r="K20" s="51" t="e">
        <f>J20*(1-'Look Up Data'!$L38)</f>
        <v>#REF!</v>
      </c>
      <c r="L20" s="51" t="e">
        <f>K20*(1-'Look Up Data'!$L38)</f>
        <v>#REF!</v>
      </c>
      <c r="M20" s="51" t="e">
        <f>L20*(1-'Look Up Data'!$L38)</f>
        <v>#REF!</v>
      </c>
      <c r="N20" s="51" t="e">
        <f>M20*(1-'Look Up Data'!$L38)</f>
        <v>#REF!</v>
      </c>
      <c r="O20" s="51" t="e">
        <f>N20*(1-'Look Up Data'!$L38)</f>
        <v>#REF!</v>
      </c>
      <c r="P20" s="51" t="e">
        <f>O20*(1-'Look Up Data'!$L38)</f>
        <v>#REF!</v>
      </c>
      <c r="Q20" s="51" t="e">
        <f>P20*(1-'Look Up Data'!$L38)</f>
        <v>#REF!</v>
      </c>
      <c r="R20" s="51" t="e">
        <f>Q20*(1-'Look Up Data'!$L38)</f>
        <v>#REF!</v>
      </c>
      <c r="S20" s="51" t="e">
        <f>R20*(1-'Look Up Data'!$L38)</f>
        <v>#REF!</v>
      </c>
      <c r="T20" s="51" t="e">
        <f>S20*(1-'Look Up Data'!$L38)</f>
        <v>#REF!</v>
      </c>
      <c r="U20" s="51" t="e">
        <f>T20*(1-'Look Up Data'!$L38)</f>
        <v>#REF!</v>
      </c>
      <c r="V20" s="51" t="e">
        <f>U20*(1-'Look Up Data'!$L38)</f>
        <v>#REF!</v>
      </c>
      <c r="W20" s="51" t="e">
        <f>V20*(1-'Look Up Data'!$L38)</f>
        <v>#REF!</v>
      </c>
      <c r="X20" s="51" t="e">
        <f>W20*(1-'Look Up Data'!$L38)</f>
        <v>#REF!</v>
      </c>
      <c r="Y20" s="51" t="e">
        <f>X20*(1-'Look Up Data'!$L38)</f>
        <v>#REF!</v>
      </c>
      <c r="Z20" s="51" t="e">
        <f>Y20*(1-'Look Up Data'!$L38)</f>
        <v>#REF!</v>
      </c>
      <c r="AA20" s="51" t="e">
        <f>Z20*(1-'Look Up Data'!$L38)</f>
        <v>#REF!</v>
      </c>
      <c r="AB20" s="51" t="e">
        <f>AA20*(1-'Look Up Data'!$L38)</f>
        <v>#REF!</v>
      </c>
      <c r="AC20" s="51" t="e">
        <f>AB20*(1-'Look Up Data'!$L38)</f>
        <v>#REF!</v>
      </c>
      <c r="AD20" s="51" t="e">
        <f>AC20*(1-'Look Up Data'!$L38)</f>
        <v>#REF!</v>
      </c>
      <c r="AE20" s="51" t="e">
        <f>AD20*(1-'Look Up Data'!$L38)</f>
        <v>#REF!</v>
      </c>
      <c r="AK20" s="2"/>
      <c r="AL20" s="2"/>
      <c r="AM20" s="2"/>
      <c r="AN20" s="2"/>
    </row>
    <row r="21" spans="1:40">
      <c r="A21" s="39" t="s">
        <v>84</v>
      </c>
      <c r="B21" s="49" t="e">
        <f>'Look Up Data'!E39*'Look Up Data'!#REF!</f>
        <v>#REF!</v>
      </c>
      <c r="C21" s="49" t="e">
        <f>'Look Up Data'!F39*'Look Up Data'!#REF!</f>
        <v>#REF!</v>
      </c>
      <c r="D21" s="49" t="e">
        <f>'Look Up Data'!G39*'Look Up Data'!#REF!</f>
        <v>#REF!</v>
      </c>
      <c r="E21" s="49" t="e">
        <f>'Look Up Data'!H39*'Look Up Data'!#REF!</f>
        <v>#REF!</v>
      </c>
      <c r="F21" s="49" t="e">
        <f>'Look Up Data'!I39*'Look Up Data'!#REF!</f>
        <v>#REF!</v>
      </c>
      <c r="G21" s="50" t="e">
        <f>F21*(1-'Look Up Data'!$L39)</f>
        <v>#REF!</v>
      </c>
      <c r="H21" s="51" t="e">
        <f>G21*(1-'Look Up Data'!$L39)</f>
        <v>#REF!</v>
      </c>
      <c r="I21" s="51" t="e">
        <f>H21*(1-'Look Up Data'!$L39)</f>
        <v>#REF!</v>
      </c>
      <c r="J21" s="51" t="e">
        <f>I21*(1-'Look Up Data'!$L39)</f>
        <v>#REF!</v>
      </c>
      <c r="K21" s="51" t="e">
        <f>J21*(1-'Look Up Data'!$L39)</f>
        <v>#REF!</v>
      </c>
      <c r="L21" s="51" t="e">
        <f>K21*(1-'Look Up Data'!$L39)</f>
        <v>#REF!</v>
      </c>
      <c r="M21" s="51" t="e">
        <f>L21*(1-'Look Up Data'!$L39)</f>
        <v>#REF!</v>
      </c>
      <c r="N21" s="51" t="e">
        <f>M21*(1-'Look Up Data'!$L39)</f>
        <v>#REF!</v>
      </c>
      <c r="O21" s="51" t="e">
        <f>N21*(1-'Look Up Data'!$L39)</f>
        <v>#REF!</v>
      </c>
      <c r="P21" s="51" t="e">
        <f>O21*(1-'Look Up Data'!$L39)</f>
        <v>#REF!</v>
      </c>
      <c r="Q21" s="51" t="e">
        <f>P21*(1-'Look Up Data'!$L39)</f>
        <v>#REF!</v>
      </c>
      <c r="R21" s="51" t="e">
        <f>Q21*(1-'Look Up Data'!$L39)</f>
        <v>#REF!</v>
      </c>
      <c r="S21" s="51" t="e">
        <f>R21*(1-'Look Up Data'!$L39)</f>
        <v>#REF!</v>
      </c>
      <c r="T21" s="51" t="e">
        <f>S21*(1-'Look Up Data'!$L39)</f>
        <v>#REF!</v>
      </c>
      <c r="U21" s="51" t="e">
        <f>T21*(1-'Look Up Data'!$L39)</f>
        <v>#REF!</v>
      </c>
      <c r="V21" s="51" t="e">
        <f>U21*(1-'Look Up Data'!$L39)</f>
        <v>#REF!</v>
      </c>
      <c r="W21" s="51" t="e">
        <f>V21*(1-'Look Up Data'!$L39)</f>
        <v>#REF!</v>
      </c>
      <c r="X21" s="51" t="e">
        <f>W21*(1-'Look Up Data'!$L39)</f>
        <v>#REF!</v>
      </c>
      <c r="Y21" s="51" t="e">
        <f>X21*(1-'Look Up Data'!$L39)</f>
        <v>#REF!</v>
      </c>
      <c r="Z21" s="51" t="e">
        <f>Y21*(1-'Look Up Data'!$L39)</f>
        <v>#REF!</v>
      </c>
      <c r="AA21" s="51" t="e">
        <f>Z21*(1-'Look Up Data'!$L39)</f>
        <v>#REF!</v>
      </c>
      <c r="AB21" s="51" t="e">
        <f>AA21*(1-'Look Up Data'!$L39)</f>
        <v>#REF!</v>
      </c>
      <c r="AC21" s="51" t="e">
        <f>AB21*(1-'Look Up Data'!$L39)</f>
        <v>#REF!</v>
      </c>
      <c r="AD21" s="51" t="e">
        <f>AC21*(1-'Look Up Data'!$L39)</f>
        <v>#REF!</v>
      </c>
      <c r="AE21" s="51" t="e">
        <f>AD21*(1-'Look Up Data'!$L39)</f>
        <v>#REF!</v>
      </c>
      <c r="AK21" s="5"/>
      <c r="AL21" s="5"/>
      <c r="AM21" s="5"/>
      <c r="AN21" s="5"/>
    </row>
    <row r="22" spans="1:40">
      <c r="A22" s="13" t="s">
        <v>85</v>
      </c>
      <c r="B22" s="49"/>
      <c r="C22" s="49"/>
      <c r="D22" s="49"/>
      <c r="E22" s="49"/>
      <c r="F22" s="49"/>
      <c r="G22" s="50"/>
      <c r="H22" s="51"/>
      <c r="I22" s="51"/>
      <c r="J22" s="51"/>
      <c r="K22" s="51"/>
      <c r="L22" s="51"/>
      <c r="M22" s="51"/>
      <c r="N22" s="51"/>
      <c r="O22" s="51"/>
      <c r="P22" s="51"/>
      <c r="Q22" s="51"/>
      <c r="R22" s="51"/>
      <c r="S22" s="51"/>
      <c r="T22" s="51"/>
      <c r="U22" s="51"/>
      <c r="V22" s="51"/>
      <c r="W22" s="51"/>
      <c r="X22" s="51"/>
      <c r="Y22" s="51"/>
      <c r="Z22" s="51"/>
      <c r="AA22" s="51"/>
      <c r="AB22" s="51"/>
      <c r="AC22" s="51"/>
      <c r="AD22" s="51"/>
      <c r="AE22" s="51"/>
      <c r="AK22" s="5"/>
      <c r="AL22" s="5"/>
      <c r="AM22" s="5"/>
      <c r="AN22" s="5"/>
    </row>
    <row r="23" spans="1:40">
      <c r="A23" s="39" t="s">
        <v>81</v>
      </c>
      <c r="B23" s="49" t="e">
        <f>'Look Up Data'!E41*'Look Up Data'!#REF!</f>
        <v>#REF!</v>
      </c>
      <c r="C23" s="49" t="e">
        <f>'Look Up Data'!F41*'Look Up Data'!#REF!</f>
        <v>#REF!</v>
      </c>
      <c r="D23" s="49" t="e">
        <f>'Look Up Data'!G41*'Look Up Data'!#REF!</f>
        <v>#REF!</v>
      </c>
      <c r="E23" s="49" t="e">
        <f>'Look Up Data'!H41*'Look Up Data'!#REF!</f>
        <v>#REF!</v>
      </c>
      <c r="F23" s="49" t="e">
        <f>'Look Up Data'!I41*'Look Up Data'!#REF!</f>
        <v>#REF!</v>
      </c>
      <c r="G23" s="50" t="e">
        <f>F23*(1-'Look Up Data'!$L41)</f>
        <v>#REF!</v>
      </c>
      <c r="H23" s="51" t="e">
        <f>G23*(1-'Look Up Data'!$L41)</f>
        <v>#REF!</v>
      </c>
      <c r="I23" s="51" t="e">
        <f>H23*(1-'Look Up Data'!$L41)</f>
        <v>#REF!</v>
      </c>
      <c r="J23" s="51" t="e">
        <f>I23*(1-'Look Up Data'!$L41)</f>
        <v>#REF!</v>
      </c>
      <c r="K23" s="51" t="e">
        <f>J23*(1-'Look Up Data'!$L41)</f>
        <v>#REF!</v>
      </c>
      <c r="L23" s="51" t="e">
        <f>K23*(1-'Look Up Data'!$L41)</f>
        <v>#REF!</v>
      </c>
      <c r="M23" s="51" t="e">
        <f>L23*(1-'Look Up Data'!$L41)</f>
        <v>#REF!</v>
      </c>
      <c r="N23" s="51" t="e">
        <f>M23*(1-'Look Up Data'!$L41)</f>
        <v>#REF!</v>
      </c>
      <c r="O23" s="51" t="e">
        <f>N23*(1-'Look Up Data'!$L41)</f>
        <v>#REF!</v>
      </c>
      <c r="P23" s="51" t="e">
        <f>O23*(1-'Look Up Data'!$L41)</f>
        <v>#REF!</v>
      </c>
      <c r="Q23" s="51" t="e">
        <f>P23*(1-'Look Up Data'!$L41)</f>
        <v>#REF!</v>
      </c>
      <c r="R23" s="51" t="e">
        <f>Q23*(1-'Look Up Data'!$L41)</f>
        <v>#REF!</v>
      </c>
      <c r="S23" s="51" t="e">
        <f>R23*(1-'Look Up Data'!$L41)</f>
        <v>#REF!</v>
      </c>
      <c r="T23" s="51" t="e">
        <f>S23*(1-'Look Up Data'!$L41)</f>
        <v>#REF!</v>
      </c>
      <c r="U23" s="51" t="e">
        <f>T23*(1-'Look Up Data'!$L41)</f>
        <v>#REF!</v>
      </c>
      <c r="V23" s="51" t="e">
        <f>U23*(1-'Look Up Data'!$L41)</f>
        <v>#REF!</v>
      </c>
      <c r="W23" s="51" t="e">
        <f>V23*(1-'Look Up Data'!$L41)</f>
        <v>#REF!</v>
      </c>
      <c r="X23" s="51" t="e">
        <f>W23*(1-'Look Up Data'!$L41)</f>
        <v>#REF!</v>
      </c>
      <c r="Y23" s="51" t="e">
        <f>X23*(1-'Look Up Data'!$L41)</f>
        <v>#REF!</v>
      </c>
      <c r="Z23" s="51" t="e">
        <f>Y23*(1-'Look Up Data'!$L41)</f>
        <v>#REF!</v>
      </c>
      <c r="AA23" s="51" t="e">
        <f>Z23*(1-'Look Up Data'!$L41)</f>
        <v>#REF!</v>
      </c>
      <c r="AB23" s="51" t="e">
        <f>AA23*(1-'Look Up Data'!$L41)</f>
        <v>#REF!</v>
      </c>
      <c r="AC23" s="51" t="e">
        <f>AB23*(1-'Look Up Data'!$L41)</f>
        <v>#REF!</v>
      </c>
      <c r="AD23" s="51" t="e">
        <f>AC23*(1-'Look Up Data'!$L41)</f>
        <v>#REF!</v>
      </c>
      <c r="AE23" s="51" t="e">
        <f>AD23*(1-'Look Up Data'!$L41)</f>
        <v>#REF!</v>
      </c>
      <c r="AK23" s="5"/>
      <c r="AL23" s="5"/>
      <c r="AM23" s="5"/>
      <c r="AN23" s="5"/>
    </row>
    <row r="24" spans="1:40">
      <c r="A24" s="39" t="s">
        <v>82</v>
      </c>
      <c r="B24" s="49" t="e">
        <f>'Look Up Data'!E42*'Look Up Data'!#REF!</f>
        <v>#REF!</v>
      </c>
      <c r="C24" s="49" t="e">
        <f>'Look Up Data'!F42*'Look Up Data'!#REF!</f>
        <v>#REF!</v>
      </c>
      <c r="D24" s="49" t="e">
        <f>'Look Up Data'!G42*'Look Up Data'!#REF!</f>
        <v>#REF!</v>
      </c>
      <c r="E24" s="49" t="e">
        <f>'Look Up Data'!H42*'Look Up Data'!#REF!</f>
        <v>#REF!</v>
      </c>
      <c r="F24" s="49" t="e">
        <f>'Look Up Data'!I42*'Look Up Data'!#REF!</f>
        <v>#REF!</v>
      </c>
      <c r="G24" s="50" t="e">
        <f>F24*(1-'Look Up Data'!$L42)</f>
        <v>#REF!</v>
      </c>
      <c r="H24" s="51" t="e">
        <f>G24*(1-'Look Up Data'!$L42)</f>
        <v>#REF!</v>
      </c>
      <c r="I24" s="51" t="e">
        <f>H24*(1-'Look Up Data'!$L42)</f>
        <v>#REF!</v>
      </c>
      <c r="J24" s="51" t="e">
        <f>I24*(1-'Look Up Data'!$L42)</f>
        <v>#REF!</v>
      </c>
      <c r="K24" s="51" t="e">
        <f>J24*(1-'Look Up Data'!$L42)</f>
        <v>#REF!</v>
      </c>
      <c r="L24" s="51" t="e">
        <f>K24*(1-'Look Up Data'!$L42)</f>
        <v>#REF!</v>
      </c>
      <c r="M24" s="51" t="e">
        <f>L24*(1-'Look Up Data'!$L42)</f>
        <v>#REF!</v>
      </c>
      <c r="N24" s="51" t="e">
        <f>M24*(1-'Look Up Data'!$L42)</f>
        <v>#REF!</v>
      </c>
      <c r="O24" s="51" t="e">
        <f>N24*(1-'Look Up Data'!$L42)</f>
        <v>#REF!</v>
      </c>
      <c r="P24" s="51" t="e">
        <f>O24*(1-'Look Up Data'!$L42)</f>
        <v>#REF!</v>
      </c>
      <c r="Q24" s="51" t="e">
        <f>P24*(1-'Look Up Data'!$L42)</f>
        <v>#REF!</v>
      </c>
      <c r="R24" s="51" t="e">
        <f>Q24*(1-'Look Up Data'!$L42)</f>
        <v>#REF!</v>
      </c>
      <c r="S24" s="51" t="e">
        <f>R24*(1-'Look Up Data'!$L42)</f>
        <v>#REF!</v>
      </c>
      <c r="T24" s="51" t="e">
        <f>S24*(1-'Look Up Data'!$L42)</f>
        <v>#REF!</v>
      </c>
      <c r="U24" s="51" t="e">
        <f>T24*(1-'Look Up Data'!$L42)</f>
        <v>#REF!</v>
      </c>
      <c r="V24" s="51" t="e">
        <f>U24*(1-'Look Up Data'!$L42)</f>
        <v>#REF!</v>
      </c>
      <c r="W24" s="51" t="e">
        <f>V24*(1-'Look Up Data'!$L42)</f>
        <v>#REF!</v>
      </c>
      <c r="X24" s="51" t="e">
        <f>W24*(1-'Look Up Data'!$L42)</f>
        <v>#REF!</v>
      </c>
      <c r="Y24" s="51" t="e">
        <f>X24*(1-'Look Up Data'!$L42)</f>
        <v>#REF!</v>
      </c>
      <c r="Z24" s="51" t="e">
        <f>Y24*(1-'Look Up Data'!$L42)</f>
        <v>#REF!</v>
      </c>
      <c r="AA24" s="51" t="e">
        <f>Z24*(1-'Look Up Data'!$L42)</f>
        <v>#REF!</v>
      </c>
      <c r="AB24" s="51" t="e">
        <f>AA24*(1-'Look Up Data'!$L42)</f>
        <v>#REF!</v>
      </c>
      <c r="AC24" s="51" t="e">
        <f>AB24*(1-'Look Up Data'!$L42)</f>
        <v>#REF!</v>
      </c>
      <c r="AD24" s="51" t="e">
        <f>AC24*(1-'Look Up Data'!$L42)</f>
        <v>#REF!</v>
      </c>
      <c r="AE24" s="51" t="e">
        <f>AD24*(1-'Look Up Data'!$L42)</f>
        <v>#REF!</v>
      </c>
      <c r="AK24" s="5"/>
      <c r="AL24" s="5"/>
      <c r="AM24" s="5"/>
      <c r="AN24" s="5"/>
    </row>
    <row r="25" spans="1:40" ht="18">
      <c r="A25" s="39" t="s">
        <v>83</v>
      </c>
      <c r="B25" s="49" t="e">
        <f>'Look Up Data'!E43*'Look Up Data'!#REF!</f>
        <v>#REF!</v>
      </c>
      <c r="C25" s="49" t="e">
        <f>'Look Up Data'!F43*'Look Up Data'!#REF!</f>
        <v>#REF!</v>
      </c>
      <c r="D25" s="49" t="e">
        <f>'Look Up Data'!G43*'Look Up Data'!#REF!</f>
        <v>#REF!</v>
      </c>
      <c r="E25" s="49" t="e">
        <f>'Look Up Data'!H43*'Look Up Data'!#REF!</f>
        <v>#REF!</v>
      </c>
      <c r="F25" s="49" t="e">
        <f>'Look Up Data'!I43*'Look Up Data'!#REF!</f>
        <v>#REF!</v>
      </c>
      <c r="G25" s="50" t="e">
        <f>F25*(1-'Look Up Data'!$L43)</f>
        <v>#REF!</v>
      </c>
      <c r="H25" s="51" t="e">
        <f>G25*(1-'Look Up Data'!$L43)</f>
        <v>#REF!</v>
      </c>
      <c r="I25" s="51" t="e">
        <f>H25*(1-'Look Up Data'!$L43)</f>
        <v>#REF!</v>
      </c>
      <c r="J25" s="51" t="e">
        <f>I25*(1-'Look Up Data'!$L43)</f>
        <v>#REF!</v>
      </c>
      <c r="K25" s="51" t="e">
        <f>J25*(1-'Look Up Data'!$L43)</f>
        <v>#REF!</v>
      </c>
      <c r="L25" s="51" t="e">
        <f>K25*(1-'Look Up Data'!$L43)</f>
        <v>#REF!</v>
      </c>
      <c r="M25" s="51" t="e">
        <f>L25*(1-'Look Up Data'!$L43)</f>
        <v>#REF!</v>
      </c>
      <c r="N25" s="51" t="e">
        <f>M25*(1-'Look Up Data'!$L43)</f>
        <v>#REF!</v>
      </c>
      <c r="O25" s="51" t="e">
        <f>N25*(1-'Look Up Data'!$L43)</f>
        <v>#REF!</v>
      </c>
      <c r="P25" s="51" t="e">
        <f>O25*(1-'Look Up Data'!$L43)</f>
        <v>#REF!</v>
      </c>
      <c r="Q25" s="51" t="e">
        <f>P25*(1-'Look Up Data'!$L43)</f>
        <v>#REF!</v>
      </c>
      <c r="R25" s="51" t="e">
        <f>Q25*(1-'Look Up Data'!$L43)</f>
        <v>#REF!</v>
      </c>
      <c r="S25" s="51" t="e">
        <f>R25*(1-'Look Up Data'!$L43)</f>
        <v>#REF!</v>
      </c>
      <c r="T25" s="51" t="e">
        <f>S25*(1-'Look Up Data'!$L43)</f>
        <v>#REF!</v>
      </c>
      <c r="U25" s="51" t="e">
        <f>T25*(1-'Look Up Data'!$L43)</f>
        <v>#REF!</v>
      </c>
      <c r="V25" s="51" t="e">
        <f>U25*(1-'Look Up Data'!$L43)</f>
        <v>#REF!</v>
      </c>
      <c r="W25" s="51" t="e">
        <f>V25*(1-'Look Up Data'!$L43)</f>
        <v>#REF!</v>
      </c>
      <c r="X25" s="51" t="e">
        <f>W25*(1-'Look Up Data'!$L43)</f>
        <v>#REF!</v>
      </c>
      <c r="Y25" s="51" t="e">
        <f>X25*(1-'Look Up Data'!$L43)</f>
        <v>#REF!</v>
      </c>
      <c r="Z25" s="51" t="e">
        <f>Y25*(1-'Look Up Data'!$L43)</f>
        <v>#REF!</v>
      </c>
      <c r="AA25" s="51" t="e">
        <f>Z25*(1-'Look Up Data'!$L43)</f>
        <v>#REF!</v>
      </c>
      <c r="AB25" s="51" t="e">
        <f>AA25*(1-'Look Up Data'!$L43)</f>
        <v>#REF!</v>
      </c>
      <c r="AC25" s="51" t="e">
        <f>AB25*(1-'Look Up Data'!$L43)</f>
        <v>#REF!</v>
      </c>
      <c r="AD25" s="51" t="e">
        <f>AC25*(1-'Look Up Data'!$L43)</f>
        <v>#REF!</v>
      </c>
      <c r="AE25" s="51" t="e">
        <f>AD25*(1-'Look Up Data'!$L43)</f>
        <v>#REF!</v>
      </c>
      <c r="AK25" s="5"/>
      <c r="AL25" s="5"/>
      <c r="AM25" s="5"/>
      <c r="AN25" s="5"/>
    </row>
    <row r="26" spans="1:40">
      <c r="A26" s="39" t="s">
        <v>84</v>
      </c>
      <c r="B26" s="49" t="e">
        <f>'Look Up Data'!E44*'Look Up Data'!#REF!</f>
        <v>#REF!</v>
      </c>
      <c r="C26" s="49" t="e">
        <f>'Look Up Data'!F44*'Look Up Data'!#REF!</f>
        <v>#REF!</v>
      </c>
      <c r="D26" s="49" t="e">
        <f>'Look Up Data'!G44*'Look Up Data'!#REF!</f>
        <v>#REF!</v>
      </c>
      <c r="E26" s="49" t="e">
        <f>'Look Up Data'!H44*'Look Up Data'!#REF!</f>
        <v>#REF!</v>
      </c>
      <c r="F26" s="49" t="e">
        <f>'Look Up Data'!I44*'Look Up Data'!#REF!</f>
        <v>#REF!</v>
      </c>
      <c r="G26" s="50" t="e">
        <f>F26*(1-'Look Up Data'!$L44)</f>
        <v>#REF!</v>
      </c>
      <c r="H26" s="51" t="e">
        <f>G26*(1-'Look Up Data'!$L44)</f>
        <v>#REF!</v>
      </c>
      <c r="I26" s="51" t="e">
        <f>H26*(1-'Look Up Data'!$L44)</f>
        <v>#REF!</v>
      </c>
      <c r="J26" s="51" t="e">
        <f>I26*(1-'Look Up Data'!$L44)</f>
        <v>#REF!</v>
      </c>
      <c r="K26" s="51" t="e">
        <f>J26*(1-'Look Up Data'!$L44)</f>
        <v>#REF!</v>
      </c>
      <c r="L26" s="51" t="e">
        <f>K26*(1-'Look Up Data'!$L44)</f>
        <v>#REF!</v>
      </c>
      <c r="M26" s="51" t="e">
        <f>L26*(1-'Look Up Data'!$L44)</f>
        <v>#REF!</v>
      </c>
      <c r="N26" s="51" t="e">
        <f>M26*(1-'Look Up Data'!$L44)</f>
        <v>#REF!</v>
      </c>
      <c r="O26" s="51" t="e">
        <f>N26*(1-'Look Up Data'!$L44)</f>
        <v>#REF!</v>
      </c>
      <c r="P26" s="51" t="e">
        <f>O26*(1-'Look Up Data'!$L44)</f>
        <v>#REF!</v>
      </c>
      <c r="Q26" s="51" t="e">
        <f>P26*(1-'Look Up Data'!$L44)</f>
        <v>#REF!</v>
      </c>
      <c r="R26" s="51" t="e">
        <f>Q26*(1-'Look Up Data'!$L44)</f>
        <v>#REF!</v>
      </c>
      <c r="S26" s="51" t="e">
        <f>R26*(1-'Look Up Data'!$L44)</f>
        <v>#REF!</v>
      </c>
      <c r="T26" s="51" t="e">
        <f>S26*(1-'Look Up Data'!$L44)</f>
        <v>#REF!</v>
      </c>
      <c r="U26" s="51" t="e">
        <f>T26*(1-'Look Up Data'!$L44)</f>
        <v>#REF!</v>
      </c>
      <c r="V26" s="51" t="e">
        <f>U26*(1-'Look Up Data'!$L44)</f>
        <v>#REF!</v>
      </c>
      <c r="W26" s="51" t="e">
        <f>V26*(1-'Look Up Data'!$L44)</f>
        <v>#REF!</v>
      </c>
      <c r="X26" s="51" t="e">
        <f>W26*(1-'Look Up Data'!$L44)</f>
        <v>#REF!</v>
      </c>
      <c r="Y26" s="51" t="e">
        <f>X26*(1-'Look Up Data'!$L44)</f>
        <v>#REF!</v>
      </c>
      <c r="Z26" s="51" t="e">
        <f>Y26*(1-'Look Up Data'!$L44)</f>
        <v>#REF!</v>
      </c>
      <c r="AA26" s="51" t="e">
        <f>Z26*(1-'Look Up Data'!$L44)</f>
        <v>#REF!</v>
      </c>
      <c r="AB26" s="51" t="e">
        <f>AA26*(1-'Look Up Data'!$L44)</f>
        <v>#REF!</v>
      </c>
      <c r="AC26" s="51" t="e">
        <f>AB26*(1-'Look Up Data'!$L44)</f>
        <v>#REF!</v>
      </c>
      <c r="AD26" s="51" t="e">
        <f>AC26*(1-'Look Up Data'!$L44)</f>
        <v>#REF!</v>
      </c>
      <c r="AE26" s="51" t="e">
        <f>AD26*(1-'Look Up Data'!$L44)</f>
        <v>#REF!</v>
      </c>
      <c r="AK26" s="5"/>
      <c r="AL26" s="5"/>
      <c r="AM26" s="5"/>
      <c r="AN26" s="5"/>
    </row>
    <row r="27" spans="1:40">
      <c r="A27" s="13" t="s">
        <v>86</v>
      </c>
      <c r="B27" s="49"/>
      <c r="C27" s="49"/>
      <c r="D27" s="49"/>
      <c r="E27" s="49"/>
      <c r="F27" s="49"/>
      <c r="G27" s="50"/>
      <c r="H27" s="51"/>
      <c r="I27" s="51"/>
      <c r="J27" s="51"/>
      <c r="K27" s="51"/>
      <c r="L27" s="51"/>
      <c r="M27" s="51"/>
      <c r="N27" s="51"/>
      <c r="O27" s="51"/>
      <c r="P27" s="51"/>
      <c r="Q27" s="51"/>
      <c r="R27" s="51"/>
      <c r="S27" s="51"/>
      <c r="T27" s="51"/>
      <c r="U27" s="51"/>
      <c r="V27" s="51"/>
      <c r="W27" s="51"/>
      <c r="X27" s="51"/>
      <c r="Y27" s="51"/>
      <c r="Z27" s="51"/>
      <c r="AA27" s="51"/>
      <c r="AB27" s="51"/>
      <c r="AC27" s="51"/>
      <c r="AD27" s="51"/>
      <c r="AE27" s="51"/>
      <c r="AK27" s="5"/>
      <c r="AL27" s="5"/>
      <c r="AM27" s="5"/>
      <c r="AN27" s="5"/>
    </row>
    <row r="28" spans="1:40">
      <c r="A28" s="39" t="s">
        <v>81</v>
      </c>
      <c r="B28" s="49" t="e">
        <f>'Look Up Data'!E46*'Look Up Data'!#REF!</f>
        <v>#REF!</v>
      </c>
      <c r="C28" s="49" t="e">
        <f>'Look Up Data'!F46*'Look Up Data'!#REF!</f>
        <v>#REF!</v>
      </c>
      <c r="D28" s="49" t="e">
        <f>'Look Up Data'!G46*'Look Up Data'!#REF!</f>
        <v>#REF!</v>
      </c>
      <c r="E28" s="49" t="e">
        <f>'Look Up Data'!H46*'Look Up Data'!#REF!</f>
        <v>#REF!</v>
      </c>
      <c r="F28" s="49" t="e">
        <f>'Look Up Data'!I46*'Look Up Data'!#REF!</f>
        <v>#REF!</v>
      </c>
      <c r="G28" s="50" t="e">
        <f>F28*(1-'Look Up Data'!$L46)</f>
        <v>#REF!</v>
      </c>
      <c r="H28" s="51" t="e">
        <f>G28*(1-'Look Up Data'!$L46)</f>
        <v>#REF!</v>
      </c>
      <c r="I28" s="51" t="e">
        <f>H28*(1-'Look Up Data'!$L46)</f>
        <v>#REF!</v>
      </c>
      <c r="J28" s="51" t="e">
        <f>I28*(1-'Look Up Data'!$L46)</f>
        <v>#REF!</v>
      </c>
      <c r="K28" s="51" t="e">
        <f>J28*(1-'Look Up Data'!$L46)</f>
        <v>#REF!</v>
      </c>
      <c r="L28" s="51" t="e">
        <f>K28*(1-'Look Up Data'!$L46)</f>
        <v>#REF!</v>
      </c>
      <c r="M28" s="51" t="e">
        <f>L28*(1-'Look Up Data'!$L46)</f>
        <v>#REF!</v>
      </c>
      <c r="N28" s="51" t="e">
        <f>M28*(1-'Look Up Data'!$L46)</f>
        <v>#REF!</v>
      </c>
      <c r="O28" s="51" t="e">
        <f>N28*(1-'Look Up Data'!$L46)</f>
        <v>#REF!</v>
      </c>
      <c r="P28" s="51" t="e">
        <f>O28*(1-'Look Up Data'!$L46)</f>
        <v>#REF!</v>
      </c>
      <c r="Q28" s="51" t="e">
        <f>P28*(1-'Look Up Data'!$L46)</f>
        <v>#REF!</v>
      </c>
      <c r="R28" s="51" t="e">
        <f>Q28*(1-'Look Up Data'!$L46)</f>
        <v>#REF!</v>
      </c>
      <c r="S28" s="51" t="e">
        <f>R28*(1-'Look Up Data'!$L46)</f>
        <v>#REF!</v>
      </c>
      <c r="T28" s="51" t="e">
        <f>S28*(1-'Look Up Data'!$L46)</f>
        <v>#REF!</v>
      </c>
      <c r="U28" s="51" t="e">
        <f>T28*(1-'Look Up Data'!$L46)</f>
        <v>#REF!</v>
      </c>
      <c r="V28" s="51" t="e">
        <f>U28*(1-'Look Up Data'!$L46)</f>
        <v>#REF!</v>
      </c>
      <c r="W28" s="51" t="e">
        <f>V28*(1-'Look Up Data'!$L46)</f>
        <v>#REF!</v>
      </c>
      <c r="X28" s="51" t="e">
        <f>W28*(1-'Look Up Data'!$L46)</f>
        <v>#REF!</v>
      </c>
      <c r="Y28" s="51" t="e">
        <f>X28*(1-'Look Up Data'!$L46)</f>
        <v>#REF!</v>
      </c>
      <c r="Z28" s="51" t="e">
        <f>Y28*(1-'Look Up Data'!$L46)</f>
        <v>#REF!</v>
      </c>
      <c r="AA28" s="51" t="e">
        <f>Z28*(1-'Look Up Data'!$L46)</f>
        <v>#REF!</v>
      </c>
      <c r="AB28" s="51" t="e">
        <f>AA28*(1-'Look Up Data'!$L46)</f>
        <v>#REF!</v>
      </c>
      <c r="AC28" s="51" t="e">
        <f>AB28*(1-'Look Up Data'!$L46)</f>
        <v>#REF!</v>
      </c>
      <c r="AD28" s="51" t="e">
        <f>AC28*(1-'Look Up Data'!$L46)</f>
        <v>#REF!</v>
      </c>
      <c r="AE28" s="51" t="e">
        <f>AD28*(1-'Look Up Data'!$L46)</f>
        <v>#REF!</v>
      </c>
      <c r="AK28" s="5"/>
      <c r="AL28" s="5"/>
      <c r="AM28" s="5"/>
      <c r="AN28" s="5"/>
    </row>
    <row r="29" spans="1:40">
      <c r="A29" s="39" t="s">
        <v>82</v>
      </c>
      <c r="B29" s="49" t="e">
        <f>'Look Up Data'!E47*'Look Up Data'!#REF!</f>
        <v>#REF!</v>
      </c>
      <c r="C29" s="49" t="e">
        <f>'Look Up Data'!F47*'Look Up Data'!#REF!</f>
        <v>#REF!</v>
      </c>
      <c r="D29" s="49" t="e">
        <f>'Look Up Data'!G47*'Look Up Data'!#REF!</f>
        <v>#REF!</v>
      </c>
      <c r="E29" s="49" t="e">
        <f>'Look Up Data'!H47*'Look Up Data'!#REF!</f>
        <v>#REF!</v>
      </c>
      <c r="F29" s="49" t="e">
        <f>'Look Up Data'!I47*'Look Up Data'!#REF!</f>
        <v>#REF!</v>
      </c>
      <c r="G29" s="50" t="e">
        <f>F29*(1-'Look Up Data'!$L47)</f>
        <v>#REF!</v>
      </c>
      <c r="H29" s="51" t="e">
        <f>G29*(1-'Look Up Data'!$L47)</f>
        <v>#REF!</v>
      </c>
      <c r="I29" s="51" t="e">
        <f>H29*(1-'Look Up Data'!$L47)</f>
        <v>#REF!</v>
      </c>
      <c r="J29" s="51" t="e">
        <f>I29*(1-'Look Up Data'!$L47)</f>
        <v>#REF!</v>
      </c>
      <c r="K29" s="51" t="e">
        <f>J29*(1-'Look Up Data'!$L47)</f>
        <v>#REF!</v>
      </c>
      <c r="L29" s="51" t="e">
        <f>K29*(1-'Look Up Data'!$L47)</f>
        <v>#REF!</v>
      </c>
      <c r="M29" s="51" t="e">
        <f>L29*(1-'Look Up Data'!$L47)</f>
        <v>#REF!</v>
      </c>
      <c r="N29" s="51" t="e">
        <f>M29*(1-'Look Up Data'!$L47)</f>
        <v>#REF!</v>
      </c>
      <c r="O29" s="51" t="e">
        <f>N29*(1-'Look Up Data'!$L47)</f>
        <v>#REF!</v>
      </c>
      <c r="P29" s="51" t="e">
        <f>O29*(1-'Look Up Data'!$L47)</f>
        <v>#REF!</v>
      </c>
      <c r="Q29" s="51" t="e">
        <f>P29*(1-'Look Up Data'!$L47)</f>
        <v>#REF!</v>
      </c>
      <c r="R29" s="51" t="e">
        <f>Q29*(1-'Look Up Data'!$L47)</f>
        <v>#REF!</v>
      </c>
      <c r="S29" s="51" t="e">
        <f>R29*(1-'Look Up Data'!$L47)</f>
        <v>#REF!</v>
      </c>
      <c r="T29" s="51" t="e">
        <f>S29*(1-'Look Up Data'!$L47)</f>
        <v>#REF!</v>
      </c>
      <c r="U29" s="51" t="e">
        <f>T29*(1-'Look Up Data'!$L47)</f>
        <v>#REF!</v>
      </c>
      <c r="V29" s="51" t="e">
        <f>U29*(1-'Look Up Data'!$L47)</f>
        <v>#REF!</v>
      </c>
      <c r="W29" s="51" t="e">
        <f>V29*(1-'Look Up Data'!$L47)</f>
        <v>#REF!</v>
      </c>
      <c r="X29" s="51" t="e">
        <f>W29*(1-'Look Up Data'!$L47)</f>
        <v>#REF!</v>
      </c>
      <c r="Y29" s="51" t="e">
        <f>X29*(1-'Look Up Data'!$L47)</f>
        <v>#REF!</v>
      </c>
      <c r="Z29" s="51" t="e">
        <f>Y29*(1-'Look Up Data'!$L47)</f>
        <v>#REF!</v>
      </c>
      <c r="AA29" s="51" t="e">
        <f>Z29*(1-'Look Up Data'!$L47)</f>
        <v>#REF!</v>
      </c>
      <c r="AB29" s="51" t="e">
        <f>AA29*(1-'Look Up Data'!$L47)</f>
        <v>#REF!</v>
      </c>
      <c r="AC29" s="51" t="e">
        <f>AB29*(1-'Look Up Data'!$L47)</f>
        <v>#REF!</v>
      </c>
      <c r="AD29" s="51" t="e">
        <f>AC29*(1-'Look Up Data'!$L47)</f>
        <v>#REF!</v>
      </c>
      <c r="AE29" s="51" t="e">
        <f>AD29*(1-'Look Up Data'!$L47)</f>
        <v>#REF!</v>
      </c>
      <c r="AK29" s="5"/>
      <c r="AL29" s="5"/>
      <c r="AM29" s="5"/>
      <c r="AN29" s="5"/>
    </row>
    <row r="30" spans="1:40" ht="18">
      <c r="A30" s="39" t="s">
        <v>83</v>
      </c>
      <c r="B30" s="49" t="e">
        <f>'Look Up Data'!E48*'Look Up Data'!#REF!</f>
        <v>#REF!</v>
      </c>
      <c r="C30" s="49" t="e">
        <f>'Look Up Data'!F48*'Look Up Data'!#REF!</f>
        <v>#REF!</v>
      </c>
      <c r="D30" s="49" t="e">
        <f>'Look Up Data'!G48*'Look Up Data'!#REF!</f>
        <v>#REF!</v>
      </c>
      <c r="E30" s="49" t="e">
        <f>'Look Up Data'!H48*'Look Up Data'!#REF!</f>
        <v>#REF!</v>
      </c>
      <c r="F30" s="49" t="e">
        <f>'Look Up Data'!I48*'Look Up Data'!#REF!</f>
        <v>#REF!</v>
      </c>
      <c r="G30" s="50" t="e">
        <f>F30*(1-'Look Up Data'!$L48)</f>
        <v>#REF!</v>
      </c>
      <c r="H30" s="51" t="e">
        <f>G30*(1-'Look Up Data'!$L48)</f>
        <v>#REF!</v>
      </c>
      <c r="I30" s="51" t="e">
        <f>H30*(1-'Look Up Data'!$L48)</f>
        <v>#REF!</v>
      </c>
      <c r="J30" s="51" t="e">
        <f>I30*(1-'Look Up Data'!$L48)</f>
        <v>#REF!</v>
      </c>
      <c r="K30" s="51" t="e">
        <f>J30*(1-'Look Up Data'!$L48)</f>
        <v>#REF!</v>
      </c>
      <c r="L30" s="51" t="e">
        <f>K30*(1-'Look Up Data'!$L48)</f>
        <v>#REF!</v>
      </c>
      <c r="M30" s="51" t="e">
        <f>L30*(1-'Look Up Data'!$L48)</f>
        <v>#REF!</v>
      </c>
      <c r="N30" s="51" t="e">
        <f>M30*(1-'Look Up Data'!$L48)</f>
        <v>#REF!</v>
      </c>
      <c r="O30" s="51" t="e">
        <f>N30*(1-'Look Up Data'!$L48)</f>
        <v>#REF!</v>
      </c>
      <c r="P30" s="51" t="e">
        <f>O30*(1-'Look Up Data'!$L48)</f>
        <v>#REF!</v>
      </c>
      <c r="Q30" s="51" t="e">
        <f>P30*(1-'Look Up Data'!$L48)</f>
        <v>#REF!</v>
      </c>
      <c r="R30" s="51" t="e">
        <f>Q30*(1-'Look Up Data'!$L48)</f>
        <v>#REF!</v>
      </c>
      <c r="S30" s="51" t="e">
        <f>R30*(1-'Look Up Data'!$L48)</f>
        <v>#REF!</v>
      </c>
      <c r="T30" s="51" t="e">
        <f>S30*(1-'Look Up Data'!$L48)</f>
        <v>#REF!</v>
      </c>
      <c r="U30" s="51" t="e">
        <f>T30*(1-'Look Up Data'!$L48)</f>
        <v>#REF!</v>
      </c>
      <c r="V30" s="51" t="e">
        <f>U30*(1-'Look Up Data'!$L48)</f>
        <v>#REF!</v>
      </c>
      <c r="W30" s="51" t="e">
        <f>V30*(1-'Look Up Data'!$L48)</f>
        <v>#REF!</v>
      </c>
      <c r="X30" s="51" t="e">
        <f>W30*(1-'Look Up Data'!$L48)</f>
        <v>#REF!</v>
      </c>
      <c r="Y30" s="51" t="e">
        <f>X30*(1-'Look Up Data'!$L48)</f>
        <v>#REF!</v>
      </c>
      <c r="Z30" s="51" t="e">
        <f>Y30*(1-'Look Up Data'!$L48)</f>
        <v>#REF!</v>
      </c>
      <c r="AA30" s="51" t="e">
        <f>Z30*(1-'Look Up Data'!$L48)</f>
        <v>#REF!</v>
      </c>
      <c r="AB30" s="51" t="e">
        <f>AA30*(1-'Look Up Data'!$L48)</f>
        <v>#REF!</v>
      </c>
      <c r="AC30" s="51" t="e">
        <f>AB30*(1-'Look Up Data'!$L48)</f>
        <v>#REF!</v>
      </c>
      <c r="AD30" s="51" t="e">
        <f>AC30*(1-'Look Up Data'!$L48)</f>
        <v>#REF!</v>
      </c>
      <c r="AE30" s="51" t="e">
        <f>AD30*(1-'Look Up Data'!$L48)</f>
        <v>#REF!</v>
      </c>
      <c r="AK30" s="5"/>
      <c r="AL30" s="5"/>
      <c r="AM30" s="5"/>
      <c r="AN30" s="5"/>
    </row>
    <row r="31" spans="1:40">
      <c r="A31" s="39" t="s">
        <v>84</v>
      </c>
      <c r="B31" s="49" t="e">
        <f>'Look Up Data'!E49*'Look Up Data'!#REF!</f>
        <v>#REF!</v>
      </c>
      <c r="C31" s="49" t="e">
        <f>'Look Up Data'!F49*'Look Up Data'!#REF!</f>
        <v>#REF!</v>
      </c>
      <c r="D31" s="49" t="e">
        <f>'Look Up Data'!G49*'Look Up Data'!#REF!</f>
        <v>#REF!</v>
      </c>
      <c r="E31" s="49" t="e">
        <f>'Look Up Data'!H49*'Look Up Data'!#REF!</f>
        <v>#REF!</v>
      </c>
      <c r="F31" s="49" t="e">
        <f>'Look Up Data'!I49*'Look Up Data'!#REF!</f>
        <v>#REF!</v>
      </c>
      <c r="G31" s="50" t="e">
        <f>F31*(1-'Look Up Data'!$L49)</f>
        <v>#REF!</v>
      </c>
      <c r="H31" s="51" t="e">
        <f>G31*(1-'Look Up Data'!$L49)</f>
        <v>#REF!</v>
      </c>
      <c r="I31" s="51" t="e">
        <f>H31*(1-'Look Up Data'!$L49)</f>
        <v>#REF!</v>
      </c>
      <c r="J31" s="51" t="e">
        <f>I31*(1-'Look Up Data'!$L49)</f>
        <v>#REF!</v>
      </c>
      <c r="K31" s="51" t="e">
        <f>J31*(1-'Look Up Data'!$L49)</f>
        <v>#REF!</v>
      </c>
      <c r="L31" s="51" t="e">
        <f>K31*(1-'Look Up Data'!$L49)</f>
        <v>#REF!</v>
      </c>
      <c r="M31" s="51" t="e">
        <f>L31*(1-'Look Up Data'!$L49)</f>
        <v>#REF!</v>
      </c>
      <c r="N31" s="51" t="e">
        <f>M31*(1-'Look Up Data'!$L49)</f>
        <v>#REF!</v>
      </c>
      <c r="O31" s="51" t="e">
        <f>N31*(1-'Look Up Data'!$L49)</f>
        <v>#REF!</v>
      </c>
      <c r="P31" s="51" t="e">
        <f>O31*(1-'Look Up Data'!$L49)</f>
        <v>#REF!</v>
      </c>
      <c r="Q31" s="51" t="e">
        <f>P31*(1-'Look Up Data'!$L49)</f>
        <v>#REF!</v>
      </c>
      <c r="R31" s="51" t="e">
        <f>Q31*(1-'Look Up Data'!$L49)</f>
        <v>#REF!</v>
      </c>
      <c r="S31" s="51" t="e">
        <f>R31*(1-'Look Up Data'!$L49)</f>
        <v>#REF!</v>
      </c>
      <c r="T31" s="51" t="e">
        <f>S31*(1-'Look Up Data'!$L49)</f>
        <v>#REF!</v>
      </c>
      <c r="U31" s="51" t="e">
        <f>T31*(1-'Look Up Data'!$L49)</f>
        <v>#REF!</v>
      </c>
      <c r="V31" s="51" t="e">
        <f>U31*(1-'Look Up Data'!$L49)</f>
        <v>#REF!</v>
      </c>
      <c r="W31" s="51" t="e">
        <f>V31*(1-'Look Up Data'!$L49)</f>
        <v>#REF!</v>
      </c>
      <c r="X31" s="51" t="e">
        <f>W31*(1-'Look Up Data'!$L49)</f>
        <v>#REF!</v>
      </c>
      <c r="Y31" s="51" t="e">
        <f>X31*(1-'Look Up Data'!$L49)</f>
        <v>#REF!</v>
      </c>
      <c r="Z31" s="51" t="e">
        <f>Y31*(1-'Look Up Data'!$L49)</f>
        <v>#REF!</v>
      </c>
      <c r="AA31" s="51" t="e">
        <f>Z31*(1-'Look Up Data'!$L49)</f>
        <v>#REF!</v>
      </c>
      <c r="AB31" s="51" t="e">
        <f>AA31*(1-'Look Up Data'!$L49)</f>
        <v>#REF!</v>
      </c>
      <c r="AC31" s="51" t="e">
        <f>AB31*(1-'Look Up Data'!$L49)</f>
        <v>#REF!</v>
      </c>
      <c r="AD31" s="51" t="e">
        <f>AC31*(1-'Look Up Data'!$L49)</f>
        <v>#REF!</v>
      </c>
      <c r="AE31" s="51" t="e">
        <f>AD31*(1-'Look Up Data'!$L49)</f>
        <v>#REF!</v>
      </c>
      <c r="AK31" s="5"/>
      <c r="AL31" s="5"/>
      <c r="AM31" s="5"/>
      <c r="AN31" s="5"/>
    </row>
    <row r="32" spans="1:40">
      <c r="A32" s="39"/>
      <c r="B32" s="29"/>
      <c r="C32" s="29"/>
      <c r="D32" s="29"/>
      <c r="E32" s="29"/>
      <c r="F32" s="29"/>
      <c r="G32" s="29"/>
      <c r="H32" s="29"/>
      <c r="I32" s="29"/>
      <c r="J32" s="29"/>
      <c r="K32" s="48"/>
      <c r="L32" s="29"/>
      <c r="M32" s="29"/>
      <c r="N32" s="29"/>
      <c r="O32" s="29"/>
      <c r="P32" s="29"/>
      <c r="Q32" s="29"/>
      <c r="R32" s="29"/>
      <c r="S32" s="29"/>
      <c r="T32" s="29"/>
      <c r="U32" s="29"/>
      <c r="V32" s="29"/>
      <c r="W32" s="29"/>
      <c r="X32" s="29"/>
      <c r="Y32" s="29"/>
      <c r="Z32" s="28"/>
      <c r="AA32" s="29"/>
      <c r="AB32" s="29"/>
      <c r="AC32" s="29"/>
      <c r="AD32" s="29"/>
      <c r="AE32" s="29"/>
      <c r="AK32" s="5"/>
      <c r="AL32" s="5"/>
      <c r="AM32" s="5"/>
      <c r="AN32" s="5"/>
    </row>
    <row r="33" spans="1:31">
      <c r="A33" s="18"/>
      <c r="B33" s="29"/>
      <c r="C33" s="29"/>
      <c r="D33" s="29"/>
      <c r="E33" s="29"/>
      <c r="F33" s="29"/>
      <c r="G33" s="29"/>
      <c r="H33" s="29"/>
      <c r="I33" s="29"/>
      <c r="J33" s="29"/>
      <c r="K33" s="48"/>
      <c r="L33" s="29"/>
      <c r="M33" s="29"/>
      <c r="N33" s="29"/>
      <c r="O33" s="29"/>
      <c r="P33" s="29"/>
      <c r="Q33" s="29"/>
      <c r="R33" s="29"/>
      <c r="S33" s="29"/>
      <c r="T33" s="29"/>
      <c r="U33" s="29"/>
      <c r="V33" s="29"/>
      <c r="W33" s="29"/>
      <c r="X33" s="29"/>
      <c r="Y33" s="29"/>
      <c r="Z33" s="28"/>
      <c r="AA33" s="29"/>
      <c r="AB33" s="29"/>
      <c r="AC33" s="29"/>
      <c r="AD33" s="29"/>
      <c r="AE33" s="29"/>
    </row>
    <row r="34" spans="1:31">
      <c r="A34" s="10"/>
      <c r="F34" s="35"/>
      <c r="G34" s="2"/>
      <c r="H34" s="2"/>
      <c r="I34" s="2"/>
      <c r="J34" s="2"/>
      <c r="K34" s="2"/>
      <c r="L34" s="2"/>
      <c r="M34" s="2"/>
      <c r="N34" s="2"/>
      <c r="O34" s="2"/>
      <c r="P34" s="2"/>
      <c r="Q34" s="2"/>
      <c r="R34" s="2"/>
      <c r="S34" s="2"/>
      <c r="T34" s="2"/>
      <c r="U34" s="2"/>
      <c r="V34" s="2"/>
      <c r="W34" s="2"/>
      <c r="X34" s="2"/>
      <c r="Y34" s="2"/>
    </row>
    <row r="35" spans="1:31">
      <c r="A35" s="27" t="s">
        <v>87</v>
      </c>
      <c r="G35" s="7"/>
    </row>
    <row r="36" spans="1:31">
      <c r="A36" s="27"/>
      <c r="G36" s="7"/>
    </row>
    <row r="37" spans="1:31">
      <c r="A37" s="25" t="s">
        <v>88</v>
      </c>
      <c r="G37" s="7"/>
    </row>
    <row r="38" spans="1:31">
      <c r="A38" s="26" t="s">
        <v>89</v>
      </c>
      <c r="G38" s="7"/>
    </row>
    <row r="39" spans="1:31">
      <c r="G39" s="7"/>
      <c r="H39" s="9"/>
      <c r="I39" s="9"/>
      <c r="J39" s="9"/>
      <c r="K39" s="9"/>
      <c r="L39" s="9"/>
      <c r="M39" s="9"/>
      <c r="N39" s="9"/>
      <c r="O39" s="9"/>
      <c r="P39" s="9"/>
      <c r="Q39" s="9"/>
      <c r="R39" s="9"/>
      <c r="S39" s="9"/>
      <c r="T39" s="9"/>
      <c r="U39" s="9"/>
      <c r="V39" s="9"/>
      <c r="W39" s="9"/>
      <c r="X39" s="9"/>
      <c r="Y39" s="5"/>
    </row>
  </sheetData>
  <hyperlinks>
    <hyperlink ref="A37" r:id="rId1" xr:uid="{E4AF025F-C7CC-49E7-9342-93A04EFFF1A9}"/>
    <hyperlink ref="A38" r:id="rId2" xr:uid="{330ECC24-729A-4E66-836D-175B34D96AA2}"/>
  </hyperlinks>
  <pageMargins left="0.7" right="0.7" top="0.75" bottom="0.75" header="0.3" footer="0.3"/>
  <pageSetup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B6051-F2CD-40C4-8170-27E5BBD05F83}">
  <sheetPr>
    <tabColor theme="9" tint="0.59999389629810485"/>
  </sheetPr>
  <dimension ref="A1:V41"/>
  <sheetViews>
    <sheetView topLeftCell="A13" zoomScale="96" zoomScaleNormal="96" workbookViewId="0">
      <selection activeCell="I9" sqref="I9"/>
    </sheetView>
  </sheetViews>
  <sheetFormatPr defaultColWidth="8.85546875" defaultRowHeight="15"/>
  <cols>
    <col min="1" max="1" width="15.5703125" customWidth="1"/>
    <col min="2" max="5" width="10.85546875" customWidth="1"/>
    <col min="6" max="7" width="12.85546875" customWidth="1"/>
    <col min="8" max="21" width="10.85546875" customWidth="1"/>
    <col min="22" max="22" width="11" bestFit="1" customWidth="1"/>
  </cols>
  <sheetData>
    <row r="1" spans="1:20" ht="18.75">
      <c r="A1" s="4" t="s">
        <v>90</v>
      </c>
    </row>
    <row r="2" spans="1:20">
      <c r="B2" s="34"/>
    </row>
    <row r="3" spans="1:20" ht="15.75" thickBot="1">
      <c r="A3" s="19"/>
      <c r="C3" s="14"/>
    </row>
    <row r="4" spans="1:20" ht="15.75" thickBot="1">
      <c r="K4" s="420" t="s">
        <v>91</v>
      </c>
      <c r="L4" s="421"/>
      <c r="M4" s="421"/>
      <c r="N4" s="421"/>
      <c r="O4" s="421"/>
      <c r="P4" s="421"/>
      <c r="Q4" s="421"/>
      <c r="R4" s="421"/>
      <c r="S4" s="421"/>
      <c r="T4" s="422"/>
    </row>
    <row r="5" spans="1:20">
      <c r="A5" s="93" t="s">
        <v>92</v>
      </c>
      <c r="B5" s="54"/>
      <c r="C5" s="54"/>
      <c r="D5" s="55"/>
      <c r="F5" s="93" t="s">
        <v>93</v>
      </c>
      <c r="G5" s="55"/>
      <c r="K5" s="423" t="s">
        <v>94</v>
      </c>
      <c r="L5" s="424"/>
      <c r="M5" s="424"/>
      <c r="N5" s="424"/>
      <c r="O5" s="424"/>
      <c r="P5" s="424"/>
      <c r="Q5" s="424"/>
      <c r="R5" s="424"/>
      <c r="S5" s="424"/>
      <c r="T5" s="425"/>
    </row>
    <row r="6" spans="1:20">
      <c r="A6" s="76"/>
      <c r="D6" s="95"/>
      <c r="F6" s="76"/>
      <c r="G6" s="95"/>
      <c r="K6" s="83"/>
      <c r="L6" s="84"/>
      <c r="M6" s="84"/>
      <c r="N6" s="84"/>
      <c r="O6" s="84"/>
      <c r="P6" s="84"/>
      <c r="Q6" s="84"/>
      <c r="R6" s="84"/>
      <c r="S6" s="84"/>
      <c r="T6" s="85"/>
    </row>
    <row r="7" spans="1:20">
      <c r="A7" s="76" t="s">
        <v>95</v>
      </c>
      <c r="B7" s="126">
        <f>M25</f>
        <v>5005</v>
      </c>
      <c r="C7" s="86">
        <f>B7/B11</f>
        <v>9.302973977695167E-3</v>
      </c>
      <c r="D7" s="95"/>
      <c r="F7" s="129">
        <f>'Look Up Data'!H64</f>
        <v>11600000</v>
      </c>
      <c r="G7" s="95"/>
      <c r="K7" s="426" t="s">
        <v>96</v>
      </c>
      <c r="L7" s="427"/>
      <c r="M7" s="428" t="s">
        <v>97</v>
      </c>
      <c r="N7" s="428"/>
      <c r="O7" s="428"/>
      <c r="P7" s="428"/>
      <c r="Q7" s="428"/>
      <c r="R7" s="428"/>
      <c r="S7" s="428"/>
      <c r="T7" s="429"/>
    </row>
    <row r="8" spans="1:20">
      <c r="A8" s="76" t="s">
        <v>98</v>
      </c>
      <c r="B8" s="126">
        <f>O25</f>
        <v>119000</v>
      </c>
      <c r="C8" s="86">
        <f>B8/B11</f>
        <v>0.22118959107806691</v>
      </c>
      <c r="D8" s="95"/>
      <c r="F8" s="130">
        <v>284100</v>
      </c>
      <c r="G8" s="95"/>
      <c r="K8" s="426"/>
      <c r="L8" s="427"/>
      <c r="M8" s="430" t="s">
        <v>99</v>
      </c>
      <c r="N8" s="428"/>
      <c r="O8" s="430" t="s">
        <v>100</v>
      </c>
      <c r="P8" s="428"/>
      <c r="Q8" s="431" t="s">
        <v>101</v>
      </c>
      <c r="R8" s="431"/>
      <c r="S8" s="430" t="s">
        <v>48</v>
      </c>
      <c r="T8" s="429"/>
    </row>
    <row r="9" spans="1:20">
      <c r="A9" s="76" t="s">
        <v>102</v>
      </c>
      <c r="B9" s="126">
        <f>Q25</f>
        <v>414000</v>
      </c>
      <c r="C9" s="86">
        <f>B9/B11</f>
        <v>0.76951672862453535</v>
      </c>
      <c r="D9" s="95"/>
      <c r="F9" s="130">
        <v>4500</v>
      </c>
      <c r="G9" s="95"/>
      <c r="K9" s="426"/>
      <c r="L9" s="427"/>
      <c r="M9" s="87" t="s">
        <v>103</v>
      </c>
      <c r="N9" s="87" t="s">
        <v>104</v>
      </c>
      <c r="O9" s="87" t="s">
        <v>103</v>
      </c>
      <c r="P9" s="87" t="s">
        <v>104</v>
      </c>
      <c r="Q9" s="87" t="s">
        <v>103</v>
      </c>
      <c r="R9" s="87" t="s">
        <v>104</v>
      </c>
      <c r="S9" s="87" t="s">
        <v>103</v>
      </c>
      <c r="T9" s="88" t="s">
        <v>104</v>
      </c>
    </row>
    <row r="10" spans="1:20">
      <c r="A10" s="76"/>
      <c r="D10" s="95"/>
      <c r="F10" s="129"/>
      <c r="G10" s="95"/>
      <c r="K10" s="417" t="s">
        <v>105</v>
      </c>
      <c r="L10" s="89" t="s">
        <v>106</v>
      </c>
      <c r="M10" s="90">
        <v>2153</v>
      </c>
      <c r="N10" s="91">
        <v>43</v>
      </c>
      <c r="O10" s="90">
        <v>50000</v>
      </c>
      <c r="P10" s="91">
        <v>42.1</v>
      </c>
      <c r="Q10" s="90">
        <v>121000</v>
      </c>
      <c r="R10" s="91">
        <v>29.3</v>
      </c>
      <c r="S10" s="90">
        <v>173000</v>
      </c>
      <c r="T10" s="92">
        <v>32.299999999999997</v>
      </c>
    </row>
    <row r="11" spans="1:20" ht="15.75" thickBot="1">
      <c r="A11" s="81" t="s">
        <v>107</v>
      </c>
      <c r="B11" s="127">
        <f>S25</f>
        <v>538000</v>
      </c>
      <c r="C11" s="128">
        <v>1</v>
      </c>
      <c r="D11" s="98"/>
      <c r="F11" s="131"/>
      <c r="G11" s="98"/>
      <c r="K11" s="418"/>
      <c r="L11" s="89" t="s">
        <v>108</v>
      </c>
      <c r="M11" s="90">
        <v>364</v>
      </c>
      <c r="N11" s="91">
        <v>7.3</v>
      </c>
      <c r="O11" s="90">
        <v>11000</v>
      </c>
      <c r="P11" s="91">
        <v>9</v>
      </c>
      <c r="Q11" s="90">
        <v>53000</v>
      </c>
      <c r="R11" s="91">
        <v>12.8</v>
      </c>
      <c r="S11" s="90">
        <v>64000</v>
      </c>
      <c r="T11" s="92">
        <v>11.9</v>
      </c>
    </row>
    <row r="12" spans="1:20">
      <c r="K12" s="418"/>
      <c r="L12" s="89" t="s">
        <v>109</v>
      </c>
      <c r="M12" s="90">
        <v>238</v>
      </c>
      <c r="N12" s="91">
        <v>4.8</v>
      </c>
      <c r="O12" s="90">
        <v>13000</v>
      </c>
      <c r="P12" s="91">
        <v>10.6</v>
      </c>
      <c r="Q12" s="90">
        <v>57000</v>
      </c>
      <c r="R12" s="91">
        <v>13.7</v>
      </c>
      <c r="S12" s="90">
        <v>70000</v>
      </c>
      <c r="T12" s="92">
        <v>12.9</v>
      </c>
    </row>
    <row r="13" spans="1:20" ht="15.75" thickBot="1">
      <c r="K13" s="418"/>
      <c r="L13" s="89" t="s">
        <v>110</v>
      </c>
      <c r="M13" s="90">
        <v>904</v>
      </c>
      <c r="N13" s="91">
        <v>18.100000000000001</v>
      </c>
      <c r="O13" s="90">
        <v>25000</v>
      </c>
      <c r="P13" s="91">
        <v>21.4</v>
      </c>
      <c r="Q13" s="90">
        <v>83000</v>
      </c>
      <c r="R13" s="91">
        <v>20.100000000000001</v>
      </c>
      <c r="S13" s="90">
        <v>110000</v>
      </c>
      <c r="T13" s="92">
        <v>20.399999999999999</v>
      </c>
    </row>
    <row r="14" spans="1:20">
      <c r="A14" s="93" t="s">
        <v>111</v>
      </c>
      <c r="B14" s="54"/>
      <c r="C14" s="54"/>
      <c r="D14" s="54"/>
      <c r="E14" s="54"/>
      <c r="F14" s="54"/>
      <c r="G14" s="54"/>
      <c r="H14" s="54"/>
      <c r="I14" s="55"/>
      <c r="K14" s="418"/>
      <c r="L14" s="89" t="s">
        <v>112</v>
      </c>
      <c r="M14" s="90">
        <v>77</v>
      </c>
      <c r="N14" s="91">
        <v>1.5</v>
      </c>
      <c r="O14" s="90">
        <v>0</v>
      </c>
      <c r="P14" s="91">
        <v>0</v>
      </c>
      <c r="Q14" s="90">
        <v>1000</v>
      </c>
      <c r="R14" s="91">
        <v>0.1</v>
      </c>
      <c r="S14" s="90">
        <v>1000</v>
      </c>
      <c r="T14" s="92">
        <v>0.1</v>
      </c>
    </row>
    <row r="15" spans="1:20" ht="15.75" thickBot="1">
      <c r="A15" s="76"/>
      <c r="B15" s="94" t="s">
        <v>113</v>
      </c>
      <c r="I15" s="95"/>
      <c r="K15" s="418"/>
      <c r="L15" s="89" t="s">
        <v>48</v>
      </c>
      <c r="M15" s="90">
        <v>3736</v>
      </c>
      <c r="N15" s="91">
        <v>74.599999999999994</v>
      </c>
      <c r="O15" s="90">
        <v>99000</v>
      </c>
      <c r="P15" s="91">
        <v>83.1</v>
      </c>
      <c r="Q15" s="90">
        <v>315000</v>
      </c>
      <c r="R15" s="91">
        <v>76.099999999999994</v>
      </c>
      <c r="S15" s="90">
        <v>417000</v>
      </c>
      <c r="T15" s="92">
        <v>77.599999999999994</v>
      </c>
    </row>
    <row r="16" spans="1:20" ht="39" thickBot="1">
      <c r="A16" s="96">
        <f>F7*C7+F8*C8+F9*C9</f>
        <v>174217.28624535314</v>
      </c>
      <c r="B16" s="97"/>
      <c r="C16" s="97"/>
      <c r="D16" s="97"/>
      <c r="E16" s="97"/>
      <c r="F16" s="97"/>
      <c r="G16" s="97"/>
      <c r="H16" s="97"/>
      <c r="I16" s="98"/>
      <c r="K16" s="419" t="s">
        <v>114</v>
      </c>
      <c r="L16" s="99" t="s">
        <v>115</v>
      </c>
      <c r="M16" s="90">
        <v>211</v>
      </c>
      <c r="N16" s="91">
        <v>4.2</v>
      </c>
      <c r="O16" s="90">
        <v>6000</v>
      </c>
      <c r="P16" s="91">
        <v>4.8</v>
      </c>
      <c r="Q16" s="90">
        <v>41000</v>
      </c>
      <c r="R16" s="91">
        <v>10</v>
      </c>
      <c r="S16" s="90">
        <v>47000</v>
      </c>
      <c r="T16" s="92">
        <v>8.8000000000000007</v>
      </c>
    </row>
    <row r="17" spans="1:21">
      <c r="K17" s="418"/>
      <c r="L17" s="89" t="s">
        <v>48</v>
      </c>
      <c r="M17" s="90">
        <v>211</v>
      </c>
      <c r="N17" s="91">
        <v>4.2</v>
      </c>
      <c r="O17" s="90">
        <v>6000</v>
      </c>
      <c r="P17" s="91">
        <v>4.8</v>
      </c>
      <c r="Q17" s="90">
        <v>41000</v>
      </c>
      <c r="R17" s="91">
        <v>10</v>
      </c>
      <c r="S17" s="90">
        <v>47000</v>
      </c>
      <c r="T17" s="92">
        <v>8.8000000000000007</v>
      </c>
    </row>
    <row r="18" spans="1:21" ht="15.75" thickBot="1">
      <c r="K18" s="419" t="s">
        <v>116</v>
      </c>
      <c r="L18" s="89" t="s">
        <v>117</v>
      </c>
      <c r="M18" s="90">
        <v>524</v>
      </c>
      <c r="N18" s="91">
        <v>10.5</v>
      </c>
      <c r="O18" s="90">
        <v>3000</v>
      </c>
      <c r="P18" s="91">
        <v>2.2000000000000002</v>
      </c>
      <c r="Q18" s="90" t="s">
        <v>4</v>
      </c>
      <c r="R18" s="100" t="s">
        <v>4</v>
      </c>
      <c r="S18" s="90">
        <v>3000</v>
      </c>
      <c r="T18" s="92">
        <v>0.6</v>
      </c>
    </row>
    <row r="19" spans="1:21" ht="15.75" thickBot="1">
      <c r="A19" s="93" t="s">
        <v>118</v>
      </c>
      <c r="B19" s="54"/>
      <c r="C19" s="54"/>
      <c r="D19" s="54"/>
      <c r="E19" s="54"/>
      <c r="F19" s="101">
        <f>F21/F22</f>
        <v>1.7930344942509582</v>
      </c>
      <c r="G19" s="55"/>
      <c r="K19" s="418"/>
      <c r="L19" s="89" t="s">
        <v>119</v>
      </c>
      <c r="M19" s="90">
        <v>111</v>
      </c>
      <c r="N19" s="91">
        <v>2.2000000000000002</v>
      </c>
      <c r="O19" s="90">
        <v>4000</v>
      </c>
      <c r="P19" s="91">
        <v>3.7</v>
      </c>
      <c r="Q19" s="90">
        <v>45000</v>
      </c>
      <c r="R19" s="91">
        <v>10.8</v>
      </c>
      <c r="S19" s="90">
        <v>49000</v>
      </c>
      <c r="T19" s="92">
        <v>9.1999999999999993</v>
      </c>
    </row>
    <row r="20" spans="1:21" ht="13.7" customHeight="1">
      <c r="A20" s="76"/>
      <c r="E20" s="102"/>
      <c r="F20" s="103"/>
      <c r="G20" s="95"/>
      <c r="K20" s="418"/>
      <c r="L20" s="89" t="s">
        <v>48</v>
      </c>
      <c r="M20" s="90">
        <v>635</v>
      </c>
      <c r="N20" s="91">
        <v>12.7</v>
      </c>
      <c r="O20" s="90">
        <v>7000</v>
      </c>
      <c r="P20" s="91">
        <v>5.9</v>
      </c>
      <c r="Q20" s="90">
        <v>45000</v>
      </c>
      <c r="R20" s="91">
        <v>10.8</v>
      </c>
      <c r="S20" s="90">
        <v>53000</v>
      </c>
      <c r="T20" s="92">
        <v>9.8000000000000007</v>
      </c>
    </row>
    <row r="21" spans="1:21">
      <c r="A21" s="76" t="s">
        <v>120</v>
      </c>
      <c r="E21" s="102"/>
      <c r="F21" s="104">
        <f>B11</f>
        <v>538000</v>
      </c>
      <c r="G21" s="95"/>
      <c r="K21" s="419" t="s">
        <v>121</v>
      </c>
      <c r="L21" s="89" t="s">
        <v>121</v>
      </c>
      <c r="M21" s="90">
        <v>421</v>
      </c>
      <c r="N21" s="91">
        <v>8.4</v>
      </c>
      <c r="O21" s="90">
        <v>7000</v>
      </c>
      <c r="P21" s="91">
        <v>6.2</v>
      </c>
      <c r="Q21" s="90">
        <v>13000</v>
      </c>
      <c r="R21" s="91">
        <v>3.1</v>
      </c>
      <c r="S21" s="90">
        <v>21000</v>
      </c>
      <c r="T21" s="92">
        <v>3.8</v>
      </c>
    </row>
    <row r="22" spans="1:21" ht="15.75" thickBot="1">
      <c r="A22" s="81" t="s">
        <v>122</v>
      </c>
      <c r="B22" s="97"/>
      <c r="C22" s="97"/>
      <c r="D22" s="97"/>
      <c r="E22" s="105"/>
      <c r="F22" s="125">
        <v>300050</v>
      </c>
      <c r="G22" s="98"/>
      <c r="K22" s="418"/>
      <c r="L22" s="89" t="s">
        <v>48</v>
      </c>
      <c r="M22" s="90">
        <v>421</v>
      </c>
      <c r="N22" s="91">
        <v>8.4</v>
      </c>
      <c r="O22" s="90">
        <v>7000</v>
      </c>
      <c r="P22" s="91">
        <v>6.2</v>
      </c>
      <c r="Q22" s="90">
        <v>13000</v>
      </c>
      <c r="R22" s="91">
        <v>3.1</v>
      </c>
      <c r="S22" s="90">
        <v>21000</v>
      </c>
      <c r="T22" s="92">
        <v>3.8</v>
      </c>
    </row>
    <row r="23" spans="1:21">
      <c r="K23" s="419" t="s">
        <v>123</v>
      </c>
      <c r="L23" s="89" t="s">
        <v>123</v>
      </c>
      <c r="M23" s="90">
        <v>2</v>
      </c>
      <c r="N23" s="91">
        <v>0</v>
      </c>
      <c r="O23" s="90" t="s">
        <v>4</v>
      </c>
      <c r="P23" s="100" t="s">
        <v>4</v>
      </c>
      <c r="Q23" s="90" t="s">
        <v>4</v>
      </c>
      <c r="R23" s="100" t="s">
        <v>4</v>
      </c>
      <c r="S23" s="90">
        <v>0</v>
      </c>
      <c r="T23" s="92">
        <v>0</v>
      </c>
    </row>
    <row r="24" spans="1:21">
      <c r="K24" s="418"/>
      <c r="L24" s="89" t="s">
        <v>48</v>
      </c>
      <c r="M24" s="90">
        <v>2</v>
      </c>
      <c r="N24" s="91">
        <v>0</v>
      </c>
      <c r="O24" s="90" t="s">
        <v>4</v>
      </c>
      <c r="P24" s="100" t="s">
        <v>4</v>
      </c>
      <c r="Q24" s="90" t="s">
        <v>4</v>
      </c>
      <c r="R24" s="100" t="s">
        <v>4</v>
      </c>
      <c r="S24" s="90">
        <v>0</v>
      </c>
      <c r="T24" s="92">
        <v>0</v>
      </c>
    </row>
    <row r="25" spans="1:21">
      <c r="G25" s="6"/>
      <c r="K25" s="106" t="s">
        <v>48</v>
      </c>
      <c r="L25" s="89" t="s">
        <v>48</v>
      </c>
      <c r="M25" s="107">
        <v>5005</v>
      </c>
      <c r="N25" s="108">
        <v>100</v>
      </c>
      <c r="O25" s="107">
        <v>119000</v>
      </c>
      <c r="P25" s="108">
        <v>100</v>
      </c>
      <c r="Q25" s="107">
        <v>414000</v>
      </c>
      <c r="R25" s="108">
        <v>100</v>
      </c>
      <c r="S25" s="107">
        <v>538000</v>
      </c>
      <c r="T25" s="109">
        <v>100</v>
      </c>
    </row>
    <row r="26" spans="1:21">
      <c r="K26" s="83"/>
      <c r="L26" s="84"/>
      <c r="M26" s="84"/>
      <c r="N26" s="84"/>
      <c r="O26" s="84"/>
      <c r="P26" s="84"/>
      <c r="Q26" s="84"/>
      <c r="R26" s="84"/>
      <c r="S26" s="84"/>
      <c r="T26" s="85"/>
    </row>
    <row r="27" spans="1:21">
      <c r="K27" s="432" t="s">
        <v>124</v>
      </c>
      <c r="L27" s="424"/>
      <c r="M27" s="424"/>
      <c r="N27" s="424"/>
      <c r="O27" s="424"/>
      <c r="P27" s="424"/>
      <c r="Q27" s="424"/>
      <c r="R27" s="424"/>
      <c r="S27" s="424"/>
      <c r="T27" s="425"/>
    </row>
    <row r="28" spans="1:21">
      <c r="K28" s="432" t="s">
        <v>125</v>
      </c>
      <c r="L28" s="424"/>
      <c r="M28" s="424"/>
      <c r="N28" s="424"/>
      <c r="O28" s="424"/>
      <c r="P28" s="424"/>
      <c r="Q28" s="424"/>
      <c r="R28" s="424"/>
      <c r="S28" s="424"/>
      <c r="T28" s="425"/>
    </row>
    <row r="29" spans="1:21" ht="15.75" thickBot="1">
      <c r="K29" s="433" t="s">
        <v>126</v>
      </c>
      <c r="L29" s="434"/>
      <c r="M29" s="434"/>
      <c r="N29" s="434"/>
      <c r="O29" s="434"/>
      <c r="P29" s="434"/>
      <c r="Q29" s="434"/>
      <c r="R29" s="434"/>
      <c r="S29" s="434"/>
      <c r="T29" s="435"/>
    </row>
    <row r="30" spans="1:21">
      <c r="J30" s="110"/>
      <c r="K30" s="111"/>
      <c r="L30" s="112"/>
      <c r="M30" s="113"/>
      <c r="N30" s="114"/>
      <c r="O30" s="113"/>
      <c r="P30" s="114"/>
      <c r="Q30" s="113"/>
      <c r="R30" s="114"/>
      <c r="S30" s="115"/>
      <c r="T30" s="116"/>
      <c r="U30" s="110"/>
    </row>
    <row r="31" spans="1:21">
      <c r="J31" s="110"/>
      <c r="K31" s="436" t="s">
        <v>127</v>
      </c>
      <c r="L31" s="436"/>
      <c r="M31" s="436"/>
      <c r="N31" s="436"/>
      <c r="O31" s="436"/>
      <c r="P31" s="436"/>
      <c r="Q31" s="436"/>
      <c r="R31" s="117"/>
      <c r="S31" s="118"/>
      <c r="T31" s="117"/>
      <c r="U31" s="110"/>
    </row>
    <row r="32" spans="1:21">
      <c r="J32" s="110"/>
      <c r="K32" s="437" t="s">
        <v>128</v>
      </c>
      <c r="L32" s="436"/>
      <c r="M32" s="436"/>
      <c r="N32" s="436"/>
      <c r="O32" s="436"/>
      <c r="P32" s="436"/>
      <c r="Q32" s="436"/>
      <c r="R32" s="117"/>
      <c r="S32" s="118"/>
      <c r="T32" s="117"/>
      <c r="U32" s="110"/>
    </row>
    <row r="33" spans="1:22">
      <c r="J33" s="110"/>
      <c r="K33" s="119"/>
      <c r="L33" s="120"/>
      <c r="M33" s="118"/>
      <c r="N33" s="117"/>
      <c r="O33" s="118"/>
      <c r="P33" s="117"/>
      <c r="Q33" s="118"/>
      <c r="R33" s="117"/>
      <c r="S33" s="118"/>
      <c r="T33" s="117"/>
      <c r="U33" s="110"/>
    </row>
    <row r="34" spans="1:22">
      <c r="A34" s="121"/>
      <c r="J34" s="110"/>
      <c r="K34" s="122"/>
      <c r="L34" s="120"/>
      <c r="M34" s="118"/>
      <c r="N34" s="117"/>
      <c r="O34" s="118"/>
      <c r="P34" s="123"/>
      <c r="Q34" s="118"/>
      <c r="R34" s="123"/>
      <c r="S34" s="118"/>
      <c r="T34" s="117"/>
      <c r="U34" s="110"/>
    </row>
    <row r="35" spans="1:22">
      <c r="J35" s="110"/>
      <c r="K35" s="119"/>
      <c r="L35" s="120"/>
      <c r="M35" s="118"/>
      <c r="N35" s="117"/>
      <c r="O35" s="118"/>
      <c r="P35" s="123"/>
      <c r="Q35" s="118"/>
      <c r="R35" s="123"/>
      <c r="S35" s="118"/>
      <c r="T35" s="117"/>
      <c r="U35" s="110"/>
    </row>
    <row r="36" spans="1:22">
      <c r="A36" s="68"/>
    </row>
    <row r="37" spans="1:22">
      <c r="A37" s="20"/>
    </row>
    <row r="39" spans="1:22">
      <c r="A39" s="73"/>
      <c r="B39">
        <v>2024</v>
      </c>
      <c r="C39">
        <f>B39+1</f>
        <v>2025</v>
      </c>
      <c r="D39">
        <f t="shared" ref="D39:U39" si="0">C39+1</f>
        <v>2026</v>
      </c>
      <c r="E39">
        <f t="shared" si="0"/>
        <v>2027</v>
      </c>
      <c r="F39">
        <f t="shared" si="0"/>
        <v>2028</v>
      </c>
      <c r="G39">
        <f t="shared" si="0"/>
        <v>2029</v>
      </c>
      <c r="H39">
        <f t="shared" si="0"/>
        <v>2030</v>
      </c>
      <c r="I39">
        <f t="shared" si="0"/>
        <v>2031</v>
      </c>
      <c r="J39">
        <f t="shared" si="0"/>
        <v>2032</v>
      </c>
      <c r="K39">
        <f t="shared" si="0"/>
        <v>2033</v>
      </c>
      <c r="L39">
        <f t="shared" si="0"/>
        <v>2034</v>
      </c>
      <c r="M39">
        <f t="shared" si="0"/>
        <v>2035</v>
      </c>
      <c r="N39">
        <f t="shared" si="0"/>
        <v>2036</v>
      </c>
      <c r="O39">
        <f t="shared" si="0"/>
        <v>2037</v>
      </c>
      <c r="P39" s="63">
        <f t="shared" si="0"/>
        <v>2038</v>
      </c>
      <c r="Q39">
        <f t="shared" si="0"/>
        <v>2039</v>
      </c>
      <c r="R39">
        <f t="shared" si="0"/>
        <v>2040</v>
      </c>
      <c r="S39">
        <f t="shared" si="0"/>
        <v>2041</v>
      </c>
      <c r="T39">
        <f t="shared" si="0"/>
        <v>2042</v>
      </c>
      <c r="U39">
        <f t="shared" si="0"/>
        <v>2043</v>
      </c>
    </row>
    <row r="40" spans="1:22">
      <c r="A40" s="74"/>
      <c r="B40" s="64">
        <f>'Truck VMT VHT reductions'!B12/1000000*A16</f>
        <v>0</v>
      </c>
      <c r="C40" s="64">
        <f>B40</f>
        <v>0</v>
      </c>
      <c r="D40" s="64">
        <f t="shared" ref="D40:U40" si="1">C40</f>
        <v>0</v>
      </c>
      <c r="E40" s="64">
        <f t="shared" si="1"/>
        <v>0</v>
      </c>
      <c r="F40" s="64">
        <f t="shared" si="1"/>
        <v>0</v>
      </c>
      <c r="G40" s="64">
        <f t="shared" si="1"/>
        <v>0</v>
      </c>
      <c r="H40" s="64">
        <f t="shared" si="1"/>
        <v>0</v>
      </c>
      <c r="I40" s="64">
        <f t="shared" si="1"/>
        <v>0</v>
      </c>
      <c r="J40" s="64">
        <f t="shared" si="1"/>
        <v>0</v>
      </c>
      <c r="K40" s="64">
        <f t="shared" si="1"/>
        <v>0</v>
      </c>
      <c r="L40" s="64">
        <f t="shared" si="1"/>
        <v>0</v>
      </c>
      <c r="M40" s="64">
        <f t="shared" si="1"/>
        <v>0</v>
      </c>
      <c r="N40" s="64">
        <f t="shared" si="1"/>
        <v>0</v>
      </c>
      <c r="O40" s="64">
        <f t="shared" si="1"/>
        <v>0</v>
      </c>
      <c r="P40" s="64">
        <f t="shared" si="1"/>
        <v>0</v>
      </c>
      <c r="Q40" s="64">
        <f t="shared" si="1"/>
        <v>0</v>
      </c>
      <c r="R40" s="64">
        <f t="shared" si="1"/>
        <v>0</v>
      </c>
      <c r="S40" s="64">
        <f t="shared" si="1"/>
        <v>0</v>
      </c>
      <c r="T40" s="64">
        <f t="shared" si="1"/>
        <v>0</v>
      </c>
      <c r="U40" s="64">
        <f t="shared" si="1"/>
        <v>0</v>
      </c>
      <c r="V40" s="7"/>
    </row>
    <row r="41" spans="1:22">
      <c r="A41" s="74"/>
      <c r="B41" s="66">
        <f t="shared" ref="B41:N41" si="2">C41*(1/$M$24)</f>
        <v>0</v>
      </c>
      <c r="C41" s="66">
        <f t="shared" si="2"/>
        <v>0</v>
      </c>
      <c r="D41" s="66">
        <f t="shared" si="2"/>
        <v>0</v>
      </c>
      <c r="E41" s="66">
        <f t="shared" si="2"/>
        <v>0</v>
      </c>
      <c r="F41" s="66">
        <f t="shared" si="2"/>
        <v>0</v>
      </c>
      <c r="G41" s="66">
        <f t="shared" si="2"/>
        <v>0</v>
      </c>
      <c r="H41" s="66">
        <f t="shared" si="2"/>
        <v>0</v>
      </c>
      <c r="I41" s="66">
        <f t="shared" si="2"/>
        <v>0</v>
      </c>
      <c r="J41" s="66">
        <f t="shared" si="2"/>
        <v>0</v>
      </c>
      <c r="K41" s="66">
        <f t="shared" si="2"/>
        <v>0</v>
      </c>
      <c r="L41" s="66">
        <f t="shared" si="2"/>
        <v>0</v>
      </c>
      <c r="M41" s="66">
        <f t="shared" si="2"/>
        <v>0</v>
      </c>
      <c r="N41" s="66">
        <f t="shared" si="2"/>
        <v>0</v>
      </c>
      <c r="O41" s="66">
        <f t="shared" ref="O41" si="3">P41*(1/$M$24)</f>
        <v>0</v>
      </c>
      <c r="P41" s="67">
        <f t="shared" ref="P41" si="4">A33</f>
        <v>0</v>
      </c>
      <c r="Q41" s="66">
        <f t="shared" ref="Q41:U41" si="5">P41*($C25)</f>
        <v>0</v>
      </c>
      <c r="R41" s="66">
        <f t="shared" si="5"/>
        <v>0</v>
      </c>
      <c r="S41" s="66">
        <f t="shared" si="5"/>
        <v>0</v>
      </c>
      <c r="T41" s="66">
        <f t="shared" si="5"/>
        <v>0</v>
      </c>
      <c r="U41" s="66">
        <f t="shared" si="5"/>
        <v>0</v>
      </c>
      <c r="V41" s="7"/>
    </row>
  </sheetData>
  <mergeCells count="18">
    <mergeCell ref="K27:T27"/>
    <mergeCell ref="K28:T28"/>
    <mergeCell ref="K29:T29"/>
    <mergeCell ref="K31:Q31"/>
    <mergeCell ref="K32:Q32"/>
    <mergeCell ref="K4:T4"/>
    <mergeCell ref="K5:T5"/>
    <mergeCell ref="K7:L9"/>
    <mergeCell ref="M7:T7"/>
    <mergeCell ref="M8:N8"/>
    <mergeCell ref="O8:P8"/>
    <mergeCell ref="Q8:R8"/>
    <mergeCell ref="S8:T8"/>
    <mergeCell ref="K10:K15"/>
    <mergeCell ref="K16:K17"/>
    <mergeCell ref="K18:K20"/>
    <mergeCell ref="K21:K22"/>
    <mergeCell ref="K23:K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aea9e0-4bde-40a7-afaa-4b93f5826b2e">
      <Terms xmlns="http://schemas.microsoft.com/office/infopath/2007/PartnerControls"/>
    </lcf76f155ced4ddcb4097134ff3c332f>
    <TaxCatchAll xmlns="f3749573-a8bb-4472-b4cf-065b2ae5579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F295F3A39DCC40999DC39F3BA38A01" ma:contentTypeVersion="15" ma:contentTypeDescription="Create a new document." ma:contentTypeScope="" ma:versionID="b432db71090e19ddb3827eefa13b0825">
  <xsd:schema xmlns:xsd="http://www.w3.org/2001/XMLSchema" xmlns:xs="http://www.w3.org/2001/XMLSchema" xmlns:p="http://schemas.microsoft.com/office/2006/metadata/properties" xmlns:ns2="4caea9e0-4bde-40a7-afaa-4b93f5826b2e" xmlns:ns3="f3749573-a8bb-4472-b4cf-065b2ae55798" targetNamespace="http://schemas.microsoft.com/office/2006/metadata/properties" ma:root="true" ma:fieldsID="1037b58fa92b0f87e619a48c35668fd6" ns2:_="" ns3:_="">
    <xsd:import namespace="4caea9e0-4bde-40a7-afaa-4b93f5826b2e"/>
    <xsd:import namespace="f3749573-a8bb-4472-b4cf-065b2ae55798"/>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ea9e0-4bde-40a7-afaa-4b93f5826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0f90c05-606b-48f3-b61d-f3cfbc761ca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749573-a8bb-4472-b4cf-065b2ae5579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9e99726-b2ec-4075-ac7a-c51200893979}" ma:internalName="TaxCatchAll" ma:showField="CatchAllData" ma:web="f3749573-a8bb-4472-b4cf-065b2ae5579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1D9DE-7E29-426F-8C93-5191A37BEACC}">
  <ds:schemaRefs>
    <ds:schemaRef ds:uri="http://schemas.microsoft.com/office/2006/documentManagement/types"/>
    <ds:schemaRef ds:uri="http://purl.org/dc/dcmitype/"/>
    <ds:schemaRef ds:uri="http://purl.org/dc/elements/1.1/"/>
    <ds:schemaRef ds:uri="http://purl.org/dc/terms/"/>
    <ds:schemaRef ds:uri="9a903cf6-a1bb-469c-8ec6-069130e1654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7e168d4e-f650-4b76-bafd-0826542b0a5c"/>
    <ds:schemaRef ds:uri="4caea9e0-4bde-40a7-afaa-4b93f5826b2e"/>
    <ds:schemaRef ds:uri="f3749573-a8bb-4472-b4cf-065b2ae55798"/>
  </ds:schemaRefs>
</ds:datastoreItem>
</file>

<file path=customXml/itemProps2.xml><?xml version="1.0" encoding="utf-8"?>
<ds:datastoreItem xmlns:ds="http://schemas.openxmlformats.org/officeDocument/2006/customXml" ds:itemID="{1C223596-F331-4560-A421-68EA8515E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ea9e0-4bde-40a7-afaa-4b93f5826b2e"/>
    <ds:schemaRef ds:uri="f3749573-a8bb-4472-b4cf-065b2ae55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7A0DCE-1A1A-4DBC-AE22-18A9FA03A3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Results</vt:lpstr>
      <vt:lpstr>Financial Return</vt:lpstr>
      <vt:lpstr>Costs</vt:lpstr>
      <vt:lpstr>Delay Savings - Bridge Link</vt:lpstr>
      <vt:lpstr>Maintenance $ Cost Savings</vt:lpstr>
      <vt:lpstr>Unaccomodated Rail Freight</vt:lpstr>
      <vt:lpstr>Truck VMT VHT reductions</vt:lpstr>
      <vt:lpstr>Emissions</vt:lpstr>
      <vt:lpstr>Crash Reduction</vt:lpstr>
      <vt:lpstr>Land Productivity Benefits</vt:lpstr>
      <vt:lpstr>Reduced Pavement Damage</vt:lpstr>
      <vt:lpstr>Travel Time Savings - Hours</vt:lpstr>
      <vt:lpstr>TT $ Benefits </vt:lpstr>
      <vt:lpstr>Crash Reduction $ Benefit</vt:lpstr>
      <vt:lpstr>Fuel Savings $ Benefits </vt:lpstr>
      <vt:lpstr>Supply Chain $ Benefits</vt:lpstr>
      <vt:lpstr>Emission $ Benefits</vt:lpstr>
      <vt:lpstr>Look Up Data</vt:lpstr>
      <vt:lpstr>Avoided Emissions Summary</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 Hirschman</dc:creator>
  <cp:keywords/>
  <dc:description/>
  <cp:lastModifiedBy>Sarah McElroy</cp:lastModifiedBy>
  <cp:revision/>
  <dcterms:created xsi:type="dcterms:W3CDTF">2019-10-06T09:35:23Z</dcterms:created>
  <dcterms:modified xsi:type="dcterms:W3CDTF">2022-09-08T17:30:16Z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0x01010005F295F3A39DCC40999DC39F3BA38A01</vt:lpwstr>
  </property>
  <property fmtid="{D5CDD505-2E9C-101B-9397-08002B2CF9AE}" pid="3" name="MediaServiceImageTags">
    <vt:lpwstr/>
  </property>
  <property fmtid="{D5CDD505-2E9C-101B-9397-08002B2CF9AE}" pid="4" name="WorkbookGuid">
    <vt:lpwstr>0f40aebe-d5c9-4811-9710-7b5360a0b6d1</vt:lpwstr>
  </property>
</Properties>
</file>