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burnsmcd.sharepoint.com/sites/134290-POMWaterfrontAssessment/Shared Documents/2024 PIDP Grant/BCA/"/>
    </mc:Choice>
  </mc:AlternateContent>
  <xr:revisionPtr revIDLastSave="3" documentId="8_{FFE021B3-A67B-4DA9-9E4F-8B47642CEE16}" xr6:coauthVersionLast="47" xr6:coauthVersionMax="47" xr10:uidLastSave="{FFD43224-496F-49B9-8392-F9802F523D3F}"/>
  <bookViews>
    <workbookView xWindow="-120" yWindow="-120" windowWidth="38640" windowHeight="21120" firstSheet="10" activeTab="19" xr2:uid="{FF27970D-1696-4940-BD82-D18FFCA5F0AA}"/>
  </bookViews>
  <sheets>
    <sheet name="Overview" sheetId="1" r:id="rId1"/>
    <sheet name="Project Information" sheetId="28" r:id="rId2"/>
    <sheet name="Parameter Values" sheetId="12" r:id="rId3"/>
    <sheet name="User Volumes" sheetId="34" r:id="rId4"/>
    <sheet name="Capital Costs" sheetId="2" r:id="rId5"/>
    <sheet name="Operations and Maintenance" sheetId="3" r:id="rId6"/>
    <sheet name="Safety" sheetId="31" r:id="rId7"/>
    <sheet name="Travel Time Savings" sheetId="32" r:id="rId8"/>
    <sheet name="Vehicle Operating Cost Savings" sheetId="33" r:id="rId9"/>
    <sheet name="Emissions Reduction" sheetId="20" r:id="rId10"/>
    <sheet name="Other Highway Use Externalities" sheetId="35" r:id="rId11"/>
    <sheet name="Amenity Benefits" sheetId="21" r:id="rId12"/>
    <sheet name="Health Benefits" sheetId="22" r:id="rId13"/>
    <sheet name="Residual Value" sheetId="23" r:id="rId14"/>
    <sheet name="Cargo Spillage" sheetId="24" r:id="rId15"/>
    <sheet name="Other Benefit 2" sheetId="25" r:id="rId16"/>
    <sheet name="Other Benefit 3" sheetId="26" r:id="rId17"/>
    <sheet name="Other Benefit 4" sheetId="27" r:id="rId18"/>
    <sheet name="Summary" sheetId="11" r:id="rId19"/>
    <sheet name="Final Results" sheetId="30" r:id="rId20"/>
  </sheets>
  <definedNames>
    <definedName name="_Hlk163814032" localSheetId="4">'Capital Costs'!$K$11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5" i="31" l="1"/>
  <c r="G10" i="34"/>
  <c r="G37" i="11" l="1"/>
  <c r="L37" i="11"/>
  <c r="D33" i="20"/>
  <c r="B33" i="20"/>
  <c r="H16" i="2"/>
  <c r="C13" i="20"/>
  <c r="O37" i="11" l="1"/>
  <c r="AC39" i="20"/>
  <c r="AC40" i="20"/>
  <c r="B6" i="30"/>
  <c r="H17" i="24" l="1"/>
  <c r="L16" i="11" l="1"/>
  <c r="L26" i="11"/>
  <c r="L27" i="11"/>
  <c r="L28" i="11"/>
  <c r="L29" i="11"/>
  <c r="L30" i="11"/>
  <c r="L31" i="11"/>
  <c r="L32" i="11"/>
  <c r="L33" i="11"/>
  <c r="L34" i="11"/>
  <c r="L35" i="11"/>
  <c r="L5" i="11"/>
  <c r="B9" i="24"/>
  <c r="L7" i="11" s="1"/>
  <c r="B10" i="24"/>
  <c r="L8" i="11" s="1"/>
  <c r="B11" i="24"/>
  <c r="L9" i="11" s="1"/>
  <c r="B12" i="24"/>
  <c r="L10" i="11" s="1"/>
  <c r="B13" i="24"/>
  <c r="L11" i="11" s="1"/>
  <c r="B14" i="24"/>
  <c r="L12" i="11" s="1"/>
  <c r="B15" i="24"/>
  <c r="L13" i="11" s="1"/>
  <c r="B16" i="24"/>
  <c r="L14" i="11" s="1"/>
  <c r="B17" i="24"/>
  <c r="L15" i="11" s="1"/>
  <c r="B18" i="24"/>
  <c r="B19" i="24"/>
  <c r="L17" i="11" s="1"/>
  <c r="B20" i="24"/>
  <c r="L18" i="11" s="1"/>
  <c r="B21" i="24"/>
  <c r="L19" i="11" s="1"/>
  <c r="B22" i="24"/>
  <c r="L20" i="11" s="1"/>
  <c r="B23" i="24"/>
  <c r="L21" i="11" s="1"/>
  <c r="B24" i="24"/>
  <c r="L22" i="11" s="1"/>
  <c r="B25" i="24"/>
  <c r="L23" i="11" s="1"/>
  <c r="B26" i="24"/>
  <c r="L24" i="11" s="1"/>
  <c r="B27" i="24"/>
  <c r="L25" i="11" s="1"/>
  <c r="B8" i="24"/>
  <c r="L6" i="11" s="1"/>
  <c r="G20" i="24"/>
  <c r="G21" i="24"/>
  <c r="G22" i="24"/>
  <c r="G23" i="24"/>
  <c r="G24" i="24"/>
  <c r="G25" i="24"/>
  <c r="G26" i="24"/>
  <c r="G27" i="24"/>
  <c r="G28" i="24"/>
  <c r="G29" i="24"/>
  <c r="G30" i="24"/>
  <c r="G31" i="24"/>
  <c r="G32" i="24"/>
  <c r="G33" i="24"/>
  <c r="G34" i="24"/>
  <c r="G35" i="24"/>
  <c r="G36" i="24"/>
  <c r="G37" i="24"/>
  <c r="G38" i="24"/>
  <c r="G39" i="24"/>
  <c r="H20" i="24"/>
  <c r="H21" i="24"/>
  <c r="H22" i="24"/>
  <c r="H23" i="24"/>
  <c r="H24" i="24"/>
  <c r="H25" i="24"/>
  <c r="H26" i="24"/>
  <c r="H27" i="24"/>
  <c r="H28" i="24"/>
  <c r="H29" i="24"/>
  <c r="H30" i="24"/>
  <c r="H31" i="24"/>
  <c r="H32" i="24"/>
  <c r="H33" i="24"/>
  <c r="H34" i="24"/>
  <c r="H35" i="24"/>
  <c r="H36" i="24"/>
  <c r="H37" i="24"/>
  <c r="H38" i="24"/>
  <c r="H39" i="24"/>
  <c r="B21" i="35" l="1"/>
  <c r="B22" i="35"/>
  <c r="B23" i="35"/>
  <c r="B24" i="35"/>
  <c r="B25" i="35"/>
  <c r="B26" i="35"/>
  <c r="B27" i="35"/>
  <c r="B28" i="35"/>
  <c r="B29" i="35"/>
  <c r="B30" i="35"/>
  <c r="B31" i="35"/>
  <c r="B32" i="35"/>
  <c r="B33" i="35"/>
  <c r="B34" i="35"/>
  <c r="B35" i="35"/>
  <c r="B36" i="35"/>
  <c r="B37" i="35"/>
  <c r="B38" i="35"/>
  <c r="B39" i="35"/>
  <c r="B20" i="35"/>
  <c r="J24" i="31"/>
  <c r="B22" i="31" s="1"/>
  <c r="AA45" i="31"/>
  <c r="AB45" i="31"/>
  <c r="AH32" i="31"/>
  <c r="B10" i="2"/>
  <c r="B11" i="2"/>
  <c r="B12" i="2"/>
  <c r="B9" i="2"/>
  <c r="G16" i="2"/>
  <c r="H15" i="2"/>
  <c r="H14" i="2"/>
  <c r="H13" i="2"/>
  <c r="H12" i="2"/>
  <c r="K10" i="34"/>
  <c r="I10" i="34"/>
  <c r="E10" i="34"/>
  <c r="D10" i="34"/>
  <c r="AD61" i="20"/>
  <c r="N38" i="20" s="1"/>
  <c r="AD60" i="20"/>
  <c r="H34" i="20" s="1"/>
  <c r="L25" i="31"/>
  <c r="L26" i="31"/>
  <c r="L27" i="31"/>
  <c r="L28" i="31"/>
  <c r="L29" i="31"/>
  <c r="L30" i="31"/>
  <c r="L31" i="31"/>
  <c r="L32" i="31"/>
  <c r="L33" i="31"/>
  <c r="L34" i="31"/>
  <c r="L35" i="31"/>
  <c r="L36" i="31"/>
  <c r="L37" i="31"/>
  <c r="L38" i="31"/>
  <c r="L39" i="31"/>
  <c r="L40" i="31"/>
  <c r="L41" i="31"/>
  <c r="L42" i="31"/>
  <c r="L43" i="31"/>
  <c r="L24" i="31"/>
  <c r="B26" i="3"/>
  <c r="C26" i="3"/>
  <c r="B27" i="3"/>
  <c r="C27" i="3"/>
  <c r="B8" i="3"/>
  <c r="M43" i="20" l="1"/>
  <c r="N47" i="20"/>
  <c r="M50" i="20"/>
  <c r="M42" i="20"/>
  <c r="N46" i="20"/>
  <c r="M49" i="20"/>
  <c r="M41" i="20"/>
  <c r="N33" i="20"/>
  <c r="N45" i="20"/>
  <c r="N37" i="20"/>
  <c r="M48" i="20"/>
  <c r="M40" i="20"/>
  <c r="N52" i="20"/>
  <c r="N44" i="20"/>
  <c r="N36" i="20"/>
  <c r="M47" i="20"/>
  <c r="N51" i="20"/>
  <c r="N35" i="20"/>
  <c r="M38" i="20"/>
  <c r="N50" i="20"/>
  <c r="N34" i="20"/>
  <c r="M33" i="20"/>
  <c r="M45" i="20"/>
  <c r="M37" i="20"/>
  <c r="N49" i="20"/>
  <c r="N41" i="20"/>
  <c r="M51" i="20"/>
  <c r="M35" i="20"/>
  <c r="M39" i="20"/>
  <c r="N43" i="20"/>
  <c r="M46" i="20"/>
  <c r="N42" i="20"/>
  <c r="M52" i="20"/>
  <c r="M44" i="20"/>
  <c r="M36" i="20"/>
  <c r="N48" i="20"/>
  <c r="N40" i="20"/>
  <c r="N39" i="20"/>
  <c r="M34" i="20"/>
  <c r="G33" i="20"/>
  <c r="G45" i="20"/>
  <c r="G37" i="20"/>
  <c r="H49" i="20"/>
  <c r="H41" i="20"/>
  <c r="G52" i="20"/>
  <c r="G44" i="20"/>
  <c r="G36" i="20"/>
  <c r="H48" i="20"/>
  <c r="H40" i="20"/>
  <c r="G43" i="20"/>
  <c r="G42" i="20"/>
  <c r="G34" i="20"/>
  <c r="H46" i="20"/>
  <c r="H38" i="20"/>
  <c r="H47" i="20"/>
  <c r="G50" i="20"/>
  <c r="G49" i="20"/>
  <c r="G41" i="20"/>
  <c r="H33" i="20"/>
  <c r="H45" i="20"/>
  <c r="H37" i="20"/>
  <c r="G51" i="20"/>
  <c r="H39" i="20"/>
  <c r="G48" i="20"/>
  <c r="G40" i="20"/>
  <c r="H52" i="20"/>
  <c r="H44" i="20"/>
  <c r="H36" i="20"/>
  <c r="G47" i="20"/>
  <c r="G39" i="20"/>
  <c r="H51" i="20"/>
  <c r="H43" i="20"/>
  <c r="H35" i="20"/>
  <c r="G35" i="20"/>
  <c r="G46" i="20"/>
  <c r="G38" i="20"/>
  <c r="H50" i="20"/>
  <c r="H42" i="20"/>
  <c r="B11" i="23" l="1"/>
  <c r="AB40" i="34" l="1"/>
  <c r="AC40" i="34"/>
  <c r="AD40" i="34"/>
  <c r="AE40" i="34"/>
  <c r="AF40" i="34"/>
  <c r="AG40" i="34"/>
  <c r="AH40" i="34"/>
  <c r="AI40" i="34"/>
  <c r="AJ40" i="34"/>
  <c r="AL40" i="34" s="1"/>
  <c r="AM40" i="34" s="1"/>
  <c r="AN40" i="34" s="1"/>
  <c r="AO40" i="34" s="1"/>
  <c r="AP40" i="34" s="1"/>
  <c r="AQ40" i="34" s="1"/>
  <c r="B10" i="34" s="1"/>
  <c r="AK40" i="34"/>
  <c r="AA40" i="34"/>
  <c r="B11" i="34" l="1"/>
  <c r="AR40" i="34"/>
  <c r="AJ32" i="31" l="1"/>
  <c r="AI32" i="31" l="1"/>
  <c r="AK32" i="31" s="1"/>
  <c r="AL32" i="31"/>
  <c r="AA26" i="31"/>
  <c r="AB26" i="31"/>
  <c r="AA27" i="31"/>
  <c r="AB27" i="31"/>
  <c r="AA28" i="31"/>
  <c r="AB28" i="31"/>
  <c r="AA29" i="31"/>
  <c r="AB29" i="31"/>
  <c r="AB25" i="31"/>
  <c r="AA25" i="31"/>
  <c r="AD45" i="31" l="1"/>
  <c r="C9" i="3"/>
  <c r="C10" i="3"/>
  <c r="C11" i="3"/>
  <c r="C12" i="3"/>
  <c r="C13" i="3"/>
  <c r="C14" i="3"/>
  <c r="C15" i="3"/>
  <c r="C16" i="3"/>
  <c r="C17" i="3"/>
  <c r="C18" i="3"/>
  <c r="C19" i="3"/>
  <c r="C20" i="3"/>
  <c r="C21" i="3"/>
  <c r="C22" i="3"/>
  <c r="C23" i="3"/>
  <c r="C24" i="3"/>
  <c r="C25" i="3"/>
  <c r="C8" i="3"/>
  <c r="B9" i="3"/>
  <c r="B10" i="3"/>
  <c r="B11" i="3"/>
  <c r="B12" i="3"/>
  <c r="B13" i="3"/>
  <c r="B14" i="3"/>
  <c r="B15" i="3"/>
  <c r="B16" i="3"/>
  <c r="B17" i="3"/>
  <c r="B18" i="3"/>
  <c r="B19" i="3"/>
  <c r="B20" i="3"/>
  <c r="B21" i="3"/>
  <c r="B22" i="3"/>
  <c r="B23" i="3"/>
  <c r="B24" i="3"/>
  <c r="B25" i="3"/>
  <c r="BO16" i="34"/>
  <c r="BO17" i="34"/>
  <c r="BO18" i="34"/>
  <c r="BO19" i="34"/>
  <c r="BO20" i="34"/>
  <c r="BO21" i="34"/>
  <c r="BO22" i="34"/>
  <c r="BO23" i="34"/>
  <c r="BO25" i="34"/>
  <c r="BO26" i="34"/>
  <c r="BO27" i="34"/>
  <c r="BO28" i="34"/>
  <c r="BO29" i="34"/>
  <c r="BO30" i="34"/>
  <c r="BO15" i="34"/>
  <c r="BN16" i="34"/>
  <c r="T15" i="34" s="1"/>
  <c r="BN17" i="34"/>
  <c r="T16" i="34" s="1"/>
  <c r="BN18" i="34"/>
  <c r="T17" i="34" s="1"/>
  <c r="BN19" i="34"/>
  <c r="T18" i="34" s="1"/>
  <c r="BN20" i="34"/>
  <c r="T19" i="34" s="1"/>
  <c r="BN21" i="34"/>
  <c r="T20" i="34" s="1"/>
  <c r="BN22" i="34"/>
  <c r="T21" i="34" s="1"/>
  <c r="BN23" i="34"/>
  <c r="T22" i="34" s="1"/>
  <c r="BN25" i="34"/>
  <c r="T24" i="34" s="1"/>
  <c r="BN26" i="34"/>
  <c r="T25" i="34" s="1"/>
  <c r="BN27" i="34"/>
  <c r="T26" i="34" s="1"/>
  <c r="BN28" i="34"/>
  <c r="T27" i="34" s="1"/>
  <c r="BN29" i="34"/>
  <c r="T28" i="34" s="1"/>
  <c r="BN30" i="34"/>
  <c r="T29" i="34" s="1"/>
  <c r="BN15" i="34"/>
  <c r="T14" i="34" s="1"/>
  <c r="AY31" i="34"/>
  <c r="AZ31" i="34"/>
  <c r="BA31" i="34"/>
  <c r="BB31" i="34"/>
  <c r="BC31" i="34"/>
  <c r="BD31" i="34"/>
  <c r="BE31" i="34"/>
  <c r="BF31" i="34"/>
  <c r="BH31" i="34" s="1"/>
  <c r="BI31" i="34" s="1"/>
  <c r="BJ31" i="34" s="1"/>
  <c r="BK31" i="34" s="1"/>
  <c r="BL31" i="34" s="1"/>
  <c r="BM31" i="34" s="1"/>
  <c r="C10" i="34" s="1"/>
  <c r="BG31" i="34"/>
  <c r="AX31" i="34"/>
  <c r="BN31" i="34" l="1"/>
  <c r="T30" i="34" s="1"/>
  <c r="BO31" i="34"/>
  <c r="C11" i="34" l="1"/>
  <c r="G11" i="34" l="1"/>
  <c r="I11" i="34"/>
  <c r="C12" i="34"/>
  <c r="C13" i="34" l="1"/>
  <c r="C14" i="34" l="1"/>
  <c r="C15" i="34" l="1"/>
  <c r="C16" i="34" l="1"/>
  <c r="C17" i="34" l="1"/>
  <c r="C18" i="34" l="1"/>
  <c r="C19" i="34" l="1"/>
  <c r="C20" i="34" l="1"/>
  <c r="C21" i="34" l="1"/>
  <c r="C22" i="34" l="1"/>
  <c r="C23" i="34" l="1"/>
  <c r="C24" i="34" l="1"/>
  <c r="C25" i="34" l="1"/>
  <c r="C26" i="34" l="1"/>
  <c r="C27" i="34" l="1"/>
  <c r="C28" i="34" l="1"/>
  <c r="C29" i="34" l="1"/>
  <c r="AS15" i="34" l="1"/>
  <c r="AS16" i="34"/>
  <c r="AS17" i="34"/>
  <c r="AS18" i="34"/>
  <c r="AS19" i="34"/>
  <c r="AS20" i="34"/>
  <c r="AS21" i="34"/>
  <c r="AS22" i="34"/>
  <c r="AS23" i="34"/>
  <c r="AS24" i="34"/>
  <c r="AS25" i="34"/>
  <c r="AS26" i="34"/>
  <c r="AS27" i="34"/>
  <c r="AS28" i="34"/>
  <c r="AS29" i="34"/>
  <c r="AS30" i="34"/>
  <c r="AS31" i="34"/>
  <c r="AS32" i="34"/>
  <c r="AS33" i="34"/>
  <c r="AS34" i="34"/>
  <c r="AS35" i="34"/>
  <c r="AS36" i="34"/>
  <c r="AS37" i="34"/>
  <c r="AS38" i="34"/>
  <c r="AS39" i="34"/>
  <c r="AS40" i="34"/>
  <c r="AS14" i="34"/>
  <c r="AR15" i="34"/>
  <c r="P14" i="34" s="1"/>
  <c r="AR16" i="34"/>
  <c r="P15" i="34" s="1"/>
  <c r="AR17" i="34"/>
  <c r="P16" i="34" s="1"/>
  <c r="AR18" i="34"/>
  <c r="P17" i="34" s="1"/>
  <c r="AR19" i="34"/>
  <c r="P18" i="34" s="1"/>
  <c r="AR20" i="34"/>
  <c r="P19" i="34" s="1"/>
  <c r="AR21" i="34"/>
  <c r="P20" i="34" s="1"/>
  <c r="AR22" i="34"/>
  <c r="P21" i="34" s="1"/>
  <c r="AR23" i="34"/>
  <c r="P22" i="34" s="1"/>
  <c r="AR24" i="34"/>
  <c r="P23" i="34" s="1"/>
  <c r="AR25" i="34"/>
  <c r="P24" i="34" s="1"/>
  <c r="AR26" i="34"/>
  <c r="P25" i="34" s="1"/>
  <c r="AR27" i="34"/>
  <c r="P26" i="34" s="1"/>
  <c r="AR28" i="34"/>
  <c r="P27" i="34" s="1"/>
  <c r="AR29" i="34"/>
  <c r="P28" i="34" s="1"/>
  <c r="AR30" i="34"/>
  <c r="P29" i="34" s="1"/>
  <c r="AR31" i="34"/>
  <c r="P30" i="34" s="1"/>
  <c r="AR32" i="34"/>
  <c r="P31" i="34" s="1"/>
  <c r="AR33" i="34"/>
  <c r="P32" i="34" s="1"/>
  <c r="AR34" i="34"/>
  <c r="P33" i="34" s="1"/>
  <c r="AR35" i="34"/>
  <c r="P34" i="34" s="1"/>
  <c r="AR36" i="34"/>
  <c r="P35" i="34" s="1"/>
  <c r="AR37" i="34"/>
  <c r="P36" i="34" s="1"/>
  <c r="AR38" i="34"/>
  <c r="P37" i="34" s="1"/>
  <c r="AR39" i="34"/>
  <c r="P38" i="34" s="1"/>
  <c r="P39" i="34"/>
  <c r="AR14" i="34"/>
  <c r="P13" i="34" s="1"/>
  <c r="B12" i="34" l="1"/>
  <c r="D11" i="34"/>
  <c r="E11" i="34" s="1"/>
  <c r="G12" i="34" l="1"/>
  <c r="I12" i="34"/>
  <c r="K11" i="34"/>
  <c r="B13" i="34"/>
  <c r="D12" i="34"/>
  <c r="E12" i="34" s="1"/>
  <c r="G13" i="34" l="1"/>
  <c r="I13" i="34"/>
  <c r="K12" i="34"/>
  <c r="B14" i="34"/>
  <c r="D13" i="34"/>
  <c r="E13" i="34" s="1"/>
  <c r="G14" i="34" l="1"/>
  <c r="I14" i="34"/>
  <c r="K13" i="34"/>
  <c r="B15" i="34"/>
  <c r="D14" i="34"/>
  <c r="E14" i="34" s="1"/>
  <c r="G15" i="34" l="1"/>
  <c r="I15" i="34"/>
  <c r="K14" i="34"/>
  <c r="B16" i="34"/>
  <c r="D15" i="34"/>
  <c r="E15" i="34" s="1"/>
  <c r="G16" i="34" l="1"/>
  <c r="I16" i="34"/>
  <c r="K15" i="34"/>
  <c r="B17" i="34"/>
  <c r="D16" i="34"/>
  <c r="E16" i="34" s="1"/>
  <c r="G17" i="34" l="1"/>
  <c r="I17" i="34"/>
  <c r="K16" i="34"/>
  <c r="B18" i="34"/>
  <c r="D17" i="34"/>
  <c r="E17" i="34" s="1"/>
  <c r="G18" i="34" l="1"/>
  <c r="I18" i="34"/>
  <c r="K17" i="34"/>
  <c r="B19" i="34"/>
  <c r="D18" i="34"/>
  <c r="E18" i="34" s="1"/>
  <c r="G19" i="34" l="1"/>
  <c r="I19" i="34"/>
  <c r="K18" i="34"/>
  <c r="B20" i="34"/>
  <c r="D19" i="34"/>
  <c r="E19" i="34" s="1"/>
  <c r="G20" i="34" l="1"/>
  <c r="I20" i="34"/>
  <c r="K19" i="34"/>
  <c r="B21" i="34"/>
  <c r="D20" i="34"/>
  <c r="E20" i="34" s="1"/>
  <c r="G21" i="34" l="1"/>
  <c r="I21" i="34"/>
  <c r="K20" i="34"/>
  <c r="B22" i="34"/>
  <c r="D21" i="34"/>
  <c r="E21" i="34" s="1"/>
  <c r="G22" i="34" l="1"/>
  <c r="I22" i="34"/>
  <c r="K21" i="34"/>
  <c r="B23" i="34"/>
  <c r="D22" i="34"/>
  <c r="E22" i="34" s="1"/>
  <c r="G23" i="34" l="1"/>
  <c r="I23" i="34"/>
  <c r="K22" i="34"/>
  <c r="B24" i="34"/>
  <c r="D23" i="34"/>
  <c r="E23" i="34" s="1"/>
  <c r="G24" i="34" l="1"/>
  <c r="I24" i="34"/>
  <c r="K23" i="34"/>
  <c r="B25" i="34"/>
  <c r="D24" i="34"/>
  <c r="E24" i="34" s="1"/>
  <c r="G25" i="34" l="1"/>
  <c r="I25" i="34"/>
  <c r="K24" i="34"/>
  <c r="B26" i="34"/>
  <c r="D25" i="34"/>
  <c r="E25" i="34" s="1"/>
  <c r="G26" i="34" l="1"/>
  <c r="I26" i="34"/>
  <c r="K25" i="34"/>
  <c r="B27" i="34"/>
  <c r="D26" i="34"/>
  <c r="E26" i="34" s="1"/>
  <c r="G27" i="34" l="1"/>
  <c r="I27" i="34"/>
  <c r="K26" i="34"/>
  <c r="B28" i="34"/>
  <c r="D27" i="34"/>
  <c r="E27" i="34" s="1"/>
  <c r="G28" i="34" l="1"/>
  <c r="I28" i="34"/>
  <c r="K27" i="34"/>
  <c r="B29" i="34"/>
  <c r="I29" i="34" s="1"/>
  <c r="D28" i="34"/>
  <c r="E28" i="34" s="1"/>
  <c r="G29" i="34" l="1"/>
  <c r="K28" i="34"/>
  <c r="D29" i="34"/>
  <c r="E29" i="34" s="1"/>
  <c r="K29" i="34" l="1"/>
  <c r="D16" i="23"/>
  <c r="D15" i="23"/>
  <c r="D14" i="23"/>
  <c r="D13" i="23"/>
  <c r="D12" i="23"/>
  <c r="C11" i="20"/>
  <c r="C12" i="20"/>
  <c r="C14" i="20"/>
  <c r="C15" i="20"/>
  <c r="C16" i="20"/>
  <c r="C17" i="20"/>
  <c r="C18" i="20"/>
  <c r="C10" i="20"/>
  <c r="D36" i="11"/>
  <c r="E36" i="11"/>
  <c r="I36" i="11"/>
  <c r="J36" i="11"/>
  <c r="D11" i="23"/>
  <c r="A10" i="1" l="1"/>
  <c r="D17" i="23" l="1"/>
  <c r="A11" i="22"/>
  <c r="A10" i="22"/>
  <c r="B18" i="20"/>
  <c r="B15" i="20"/>
  <c r="B12" i="20"/>
  <c r="B27" i="20"/>
  <c r="C27" i="20"/>
  <c r="B28" i="20"/>
  <c r="C28" i="20"/>
  <c r="B29" i="20"/>
  <c r="C29" i="20"/>
  <c r="C26" i="20"/>
  <c r="B26" i="20"/>
  <c r="B22" i="20"/>
  <c r="C22" i="20"/>
  <c r="B23" i="20"/>
  <c r="C23" i="20"/>
  <c r="B24" i="20"/>
  <c r="C24" i="20"/>
  <c r="C21" i="20"/>
  <c r="AC48" i="20" s="1"/>
  <c r="B21" i="20"/>
  <c r="AC42" i="20" s="1"/>
  <c r="B18" i="33"/>
  <c r="B19" i="33"/>
  <c r="B20" i="33"/>
  <c r="B13" i="33"/>
  <c r="B14" i="33"/>
  <c r="B15" i="33"/>
  <c r="B22" i="33"/>
  <c r="B17" i="33"/>
  <c r="B12" i="33"/>
  <c r="B16" i="3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6" i="11"/>
  <c r="A9" i="35"/>
  <c r="B9" i="35"/>
  <c r="C9" i="35"/>
  <c r="D9" i="35"/>
  <c r="A10" i="35"/>
  <c r="B10" i="35"/>
  <c r="C10" i="35"/>
  <c r="D10" i="35"/>
  <c r="A11" i="35"/>
  <c r="B11" i="35"/>
  <c r="C11" i="35"/>
  <c r="D11" i="35"/>
  <c r="A12" i="35"/>
  <c r="B12" i="35"/>
  <c r="C12" i="35"/>
  <c r="D12" i="35"/>
  <c r="A13" i="35"/>
  <c r="B13" i="35"/>
  <c r="C13" i="35"/>
  <c r="D13" i="35"/>
  <c r="A14" i="35"/>
  <c r="B14" i="35"/>
  <c r="C14" i="35"/>
  <c r="D14" i="35"/>
  <c r="A15" i="35"/>
  <c r="B15" i="35"/>
  <c r="C15" i="35"/>
  <c r="D15" i="35"/>
  <c r="A16" i="35"/>
  <c r="B16" i="35"/>
  <c r="C16" i="35"/>
  <c r="D16" i="35"/>
  <c r="B8" i="35"/>
  <c r="C8" i="35"/>
  <c r="D8" i="35"/>
  <c r="A8" i="35"/>
  <c r="AC43" i="20" l="1"/>
  <c r="AC45" i="20" s="1"/>
  <c r="AC44" i="20"/>
  <c r="AC46" i="20" s="1"/>
  <c r="AC49" i="20"/>
  <c r="AC51" i="20" s="1"/>
  <c r="AC50" i="20"/>
  <c r="AC52" i="20" s="1"/>
  <c r="B38" i="20"/>
  <c r="B43" i="20"/>
  <c r="B49" i="20"/>
  <c r="B46" i="20"/>
  <c r="B50" i="20"/>
  <c r="B41" i="20"/>
  <c r="B44" i="20"/>
  <c r="B42" i="20"/>
  <c r="B45" i="20"/>
  <c r="B48" i="20"/>
  <c r="B39" i="20"/>
  <c r="B34" i="20"/>
  <c r="B52" i="20"/>
  <c r="B40" i="20"/>
  <c r="B37" i="20"/>
  <c r="B51" i="20"/>
  <c r="B47" i="20"/>
  <c r="B36" i="20"/>
  <c r="B35" i="20"/>
  <c r="H36" i="11"/>
  <c r="B9" i="22"/>
  <c r="C9" i="22"/>
  <c r="C8" i="22"/>
  <c r="B8" i="22"/>
  <c r="B9" i="33"/>
  <c r="B8" i="33"/>
  <c r="D41" i="20" l="1"/>
  <c r="D43" i="20"/>
  <c r="D36" i="20"/>
  <c r="D40" i="20"/>
  <c r="D49" i="20"/>
  <c r="D52" i="20"/>
  <c r="D39" i="20"/>
  <c r="D35" i="20"/>
  <c r="D37" i="20"/>
  <c r="D46" i="20"/>
  <c r="D38" i="20"/>
  <c r="D47" i="20"/>
  <c r="D51" i="20"/>
  <c r="D45" i="20"/>
  <c r="D34" i="20"/>
  <c r="D48" i="20"/>
  <c r="D42" i="20"/>
  <c r="D44" i="20"/>
  <c r="D50" i="20"/>
  <c r="B7" i="31"/>
  <c r="B8" i="32"/>
  <c r="B9" i="32"/>
  <c r="B10" i="32"/>
  <c r="B11" i="32"/>
  <c r="B13" i="32"/>
  <c r="B14" i="32"/>
  <c r="B15" i="32"/>
  <c r="B16" i="32"/>
  <c r="B8" i="31"/>
  <c r="B9" i="31"/>
  <c r="B10" i="31"/>
  <c r="B11" i="31"/>
  <c r="B12" i="31"/>
  <c r="B13" i="31"/>
  <c r="B17" i="31"/>
  <c r="B18" i="31"/>
  <c r="B11" i="28"/>
  <c r="D55" i="33"/>
  <c r="E35" i="11" s="1"/>
  <c r="D54" i="33"/>
  <c r="E34" i="11" s="1"/>
  <c r="D53" i="33"/>
  <c r="E33" i="11" s="1"/>
  <c r="D52" i="33"/>
  <c r="E32" i="11" s="1"/>
  <c r="D51" i="33"/>
  <c r="E31" i="11" s="1"/>
  <c r="D50" i="33"/>
  <c r="E30" i="11" s="1"/>
  <c r="D49" i="33"/>
  <c r="E29" i="11" s="1"/>
  <c r="D48" i="33"/>
  <c r="E28" i="11" s="1"/>
  <c r="D47" i="33"/>
  <c r="E27" i="11" s="1"/>
  <c r="D46" i="33"/>
  <c r="E26" i="11" s="1"/>
  <c r="D45" i="33"/>
  <c r="E25" i="11" s="1"/>
  <c r="D44" i="33"/>
  <c r="E24" i="11" s="1"/>
  <c r="D43" i="33"/>
  <c r="E23" i="11" s="1"/>
  <c r="D42" i="33"/>
  <c r="E22" i="11" s="1"/>
  <c r="D41" i="33"/>
  <c r="E21" i="11" s="1"/>
  <c r="D40" i="33"/>
  <c r="E20" i="11" s="1"/>
  <c r="D39" i="33"/>
  <c r="E19" i="11" s="1"/>
  <c r="D38" i="33"/>
  <c r="E18" i="11" s="1"/>
  <c r="D37" i="33"/>
  <c r="E17" i="11" s="1"/>
  <c r="D36" i="33"/>
  <c r="E16" i="11" s="1"/>
  <c r="D35" i="33"/>
  <c r="E15" i="11" s="1"/>
  <c r="D34" i="33"/>
  <c r="E14" i="11" s="1"/>
  <c r="D33" i="33"/>
  <c r="E13" i="11" s="1"/>
  <c r="D32" i="33"/>
  <c r="E12" i="11" s="1"/>
  <c r="D31" i="33"/>
  <c r="E11" i="11" s="1"/>
  <c r="D30" i="33"/>
  <c r="E10" i="11" s="1"/>
  <c r="D29" i="33"/>
  <c r="E9" i="11" s="1"/>
  <c r="D28" i="33"/>
  <c r="E8" i="11" s="1"/>
  <c r="D27" i="33"/>
  <c r="E7" i="11" s="1"/>
  <c r="D26" i="33"/>
  <c r="E6" i="11" s="1"/>
  <c r="D49" i="32"/>
  <c r="D35" i="11" s="1"/>
  <c r="D48" i="32"/>
  <c r="D34" i="11" s="1"/>
  <c r="D47" i="32"/>
  <c r="D33" i="11" s="1"/>
  <c r="D46" i="32"/>
  <c r="D32" i="11" s="1"/>
  <c r="D45" i="32"/>
  <c r="D31" i="11" s="1"/>
  <c r="D44" i="32"/>
  <c r="D30" i="11" s="1"/>
  <c r="D43" i="32"/>
  <c r="D29" i="11" s="1"/>
  <c r="D42" i="32"/>
  <c r="D28" i="11" s="1"/>
  <c r="D41" i="32"/>
  <c r="D27" i="11" s="1"/>
  <c r="D40" i="32"/>
  <c r="D26" i="11" s="1"/>
  <c r="D39" i="32"/>
  <c r="D25" i="11" s="1"/>
  <c r="D38" i="32"/>
  <c r="D24" i="11" s="1"/>
  <c r="D37" i="32"/>
  <c r="D23" i="11" s="1"/>
  <c r="D36" i="32"/>
  <c r="D22" i="11" s="1"/>
  <c r="D35" i="32"/>
  <c r="D21" i="11" s="1"/>
  <c r="D34" i="32"/>
  <c r="D20" i="11" s="1"/>
  <c r="D33" i="32"/>
  <c r="D19" i="11" s="1"/>
  <c r="D32" i="32"/>
  <c r="D18" i="11" s="1"/>
  <c r="D31" i="32"/>
  <c r="D17" i="11" s="1"/>
  <c r="D30" i="32"/>
  <c r="D16" i="11" s="1"/>
  <c r="D29" i="32"/>
  <c r="D15" i="11" s="1"/>
  <c r="D28" i="32"/>
  <c r="D14" i="11" s="1"/>
  <c r="D27" i="32"/>
  <c r="D13" i="11" s="1"/>
  <c r="D26" i="32"/>
  <c r="D12" i="11" s="1"/>
  <c r="D25" i="32"/>
  <c r="D11" i="11" s="1"/>
  <c r="D24" i="32"/>
  <c r="D10" i="11" s="1"/>
  <c r="D23" i="32"/>
  <c r="D9" i="11" s="1"/>
  <c r="D22" i="32"/>
  <c r="D8" i="11" s="1"/>
  <c r="D21" i="32"/>
  <c r="D7" i="11" s="1"/>
  <c r="D20" i="32"/>
  <c r="D6" i="11" s="1"/>
  <c r="D42" i="31"/>
  <c r="C26" i="11" s="1"/>
  <c r="D43" i="31"/>
  <c r="C27" i="11" s="1"/>
  <c r="D44" i="31"/>
  <c r="C28" i="11" s="1"/>
  <c r="D45" i="31"/>
  <c r="C29" i="11" s="1"/>
  <c r="D46" i="31"/>
  <c r="C30" i="11" s="1"/>
  <c r="D47" i="31"/>
  <c r="C31" i="11" s="1"/>
  <c r="D48" i="31"/>
  <c r="C32" i="11" s="1"/>
  <c r="D49" i="31"/>
  <c r="C33" i="11" s="1"/>
  <c r="D50" i="31"/>
  <c r="C34" i="11" s="1"/>
  <c r="D51" i="31"/>
  <c r="C35" i="11" s="1"/>
  <c r="A9" i="2"/>
  <c r="C9" i="2" s="1"/>
  <c r="B41" i="11" s="1"/>
  <c r="B6" i="28"/>
  <c r="B9" i="28"/>
  <c r="D8" i="3"/>
  <c r="B6" i="11" s="1"/>
  <c r="D9" i="3"/>
  <c r="B7" i="11" s="1"/>
  <c r="D10" i="3"/>
  <c r="B8" i="11" s="1"/>
  <c r="D11" i="3"/>
  <c r="B9" i="11" s="1"/>
  <c r="D12" i="3"/>
  <c r="B10" i="11" s="1"/>
  <c r="D13" i="3"/>
  <c r="B11" i="11" s="1"/>
  <c r="D14" i="3"/>
  <c r="B12" i="11" s="1"/>
  <c r="D15" i="3"/>
  <c r="B13" i="11" s="1"/>
  <c r="D16" i="3"/>
  <c r="B14" i="11" s="1"/>
  <c r="D17" i="3"/>
  <c r="B15" i="11" s="1"/>
  <c r="D18" i="3"/>
  <c r="B16" i="11" s="1"/>
  <c r="D19" i="3"/>
  <c r="B17" i="11" s="1"/>
  <c r="D20" i="3"/>
  <c r="B18" i="11" s="1"/>
  <c r="D21" i="3"/>
  <c r="B19" i="11" s="1"/>
  <c r="D22" i="3"/>
  <c r="B20" i="11" s="1"/>
  <c r="D23" i="3"/>
  <c r="B21" i="11" s="1"/>
  <c r="D24" i="3"/>
  <c r="B22" i="11" s="1"/>
  <c r="D25" i="3"/>
  <c r="B23" i="11" s="1"/>
  <c r="D26" i="3"/>
  <c r="B24" i="11" s="1"/>
  <c r="D27" i="3"/>
  <c r="B25" i="11" s="1"/>
  <c r="D28" i="3"/>
  <c r="B26" i="11" s="1"/>
  <c r="D29" i="3"/>
  <c r="B27" i="11" s="1"/>
  <c r="D30" i="3"/>
  <c r="B28" i="11" s="1"/>
  <c r="D31" i="3"/>
  <c r="B29" i="11" s="1"/>
  <c r="D32" i="3"/>
  <c r="B30" i="11" s="1"/>
  <c r="D33" i="3"/>
  <c r="B31" i="11" s="1"/>
  <c r="D34" i="3"/>
  <c r="B32" i="11" s="1"/>
  <c r="D35" i="3"/>
  <c r="B33" i="11" s="1"/>
  <c r="D36" i="3"/>
  <c r="B34" i="11" s="1"/>
  <c r="D37" i="3"/>
  <c r="B35" i="11" s="1"/>
  <c r="I22" i="11"/>
  <c r="J22" i="11"/>
  <c r="M22" i="11"/>
  <c r="N22" i="11"/>
  <c r="I23" i="11"/>
  <c r="J23" i="11"/>
  <c r="M23" i="11"/>
  <c r="N23" i="11"/>
  <c r="I24" i="11"/>
  <c r="J24" i="11"/>
  <c r="M24" i="11"/>
  <c r="N24" i="11"/>
  <c r="I25" i="11"/>
  <c r="J25" i="11"/>
  <c r="M25" i="11"/>
  <c r="N25" i="11"/>
  <c r="I26" i="11"/>
  <c r="J26" i="11"/>
  <c r="M26" i="11"/>
  <c r="N26" i="11"/>
  <c r="O26" i="11"/>
  <c r="I27" i="11"/>
  <c r="J27" i="11"/>
  <c r="M27" i="11"/>
  <c r="N27" i="11"/>
  <c r="O27" i="11"/>
  <c r="I28" i="11"/>
  <c r="J28" i="11"/>
  <c r="M28" i="11"/>
  <c r="N28" i="11"/>
  <c r="O28" i="11"/>
  <c r="I29" i="11"/>
  <c r="J29" i="11"/>
  <c r="M29" i="11"/>
  <c r="N29" i="11"/>
  <c r="O29" i="11"/>
  <c r="I30" i="11"/>
  <c r="J30" i="11"/>
  <c r="M30" i="11"/>
  <c r="N30" i="11"/>
  <c r="O30" i="11"/>
  <c r="I31" i="11"/>
  <c r="J31" i="11"/>
  <c r="M31" i="11"/>
  <c r="N31" i="11"/>
  <c r="O31" i="11"/>
  <c r="I32" i="11"/>
  <c r="J32" i="11"/>
  <c r="M32" i="11"/>
  <c r="N32" i="11"/>
  <c r="O32" i="11"/>
  <c r="I33" i="11"/>
  <c r="J33" i="11"/>
  <c r="M33" i="11"/>
  <c r="N33" i="11"/>
  <c r="O33" i="11"/>
  <c r="I34" i="11"/>
  <c r="J34" i="11"/>
  <c r="M34" i="11"/>
  <c r="N34" i="11"/>
  <c r="O34" i="11"/>
  <c r="I35" i="11"/>
  <c r="J35" i="11"/>
  <c r="M35" i="11"/>
  <c r="N35" i="11"/>
  <c r="O35" i="11"/>
  <c r="I7" i="11"/>
  <c r="J7" i="11"/>
  <c r="M7" i="11"/>
  <c r="N7" i="11"/>
  <c r="I8" i="11"/>
  <c r="J8" i="11"/>
  <c r="M8" i="11"/>
  <c r="N8" i="11"/>
  <c r="I9" i="11"/>
  <c r="J9" i="11"/>
  <c r="M9" i="11"/>
  <c r="N9" i="11"/>
  <c r="I10" i="11"/>
  <c r="J10" i="11"/>
  <c r="M10" i="11"/>
  <c r="N10" i="11"/>
  <c r="I11" i="11"/>
  <c r="J11" i="11"/>
  <c r="M11" i="11"/>
  <c r="N11" i="11"/>
  <c r="I12" i="11"/>
  <c r="J12" i="11"/>
  <c r="M12" i="11"/>
  <c r="N12" i="11"/>
  <c r="I13" i="11"/>
  <c r="J13" i="11"/>
  <c r="M13" i="11"/>
  <c r="N13" i="11"/>
  <c r="I14" i="11"/>
  <c r="J14" i="11"/>
  <c r="M14" i="11"/>
  <c r="N14" i="11"/>
  <c r="I15" i="11"/>
  <c r="J15" i="11"/>
  <c r="M15" i="11"/>
  <c r="N15" i="11"/>
  <c r="I16" i="11"/>
  <c r="J16" i="11"/>
  <c r="M16" i="11"/>
  <c r="N16" i="11"/>
  <c r="I17" i="11"/>
  <c r="J17" i="11"/>
  <c r="M17" i="11"/>
  <c r="N17" i="11"/>
  <c r="I18" i="11"/>
  <c r="J18" i="11"/>
  <c r="M18" i="11"/>
  <c r="N18" i="11"/>
  <c r="I19" i="11"/>
  <c r="J19" i="11"/>
  <c r="M19" i="11"/>
  <c r="N19" i="11"/>
  <c r="I20" i="11"/>
  <c r="J20" i="11"/>
  <c r="M20" i="11"/>
  <c r="N20" i="11"/>
  <c r="I21" i="11"/>
  <c r="J21" i="11"/>
  <c r="M21" i="11"/>
  <c r="N21" i="11"/>
  <c r="O5" i="11"/>
  <c r="N5" i="11"/>
  <c r="N6" i="11"/>
  <c r="N37" i="11" s="1"/>
  <c r="M5" i="11"/>
  <c r="M6" i="11"/>
  <c r="M37" i="11" s="1"/>
  <c r="J6" i="11"/>
  <c r="I6" i="11"/>
  <c r="M36" i="11" l="1"/>
  <c r="N36" i="11"/>
  <c r="K41" i="31"/>
  <c r="K35" i="31"/>
  <c r="K37" i="31"/>
  <c r="K40" i="31"/>
  <c r="K33" i="31"/>
  <c r="K38" i="31"/>
  <c r="K43" i="31"/>
  <c r="K31" i="31"/>
  <c r="K32" i="31"/>
  <c r="K26" i="31"/>
  <c r="K39" i="31"/>
  <c r="K24" i="31"/>
  <c r="K25" i="31"/>
  <c r="K27" i="31"/>
  <c r="K34" i="31"/>
  <c r="K28" i="31"/>
  <c r="K42" i="31"/>
  <c r="K36" i="31"/>
  <c r="K30" i="31"/>
  <c r="K29" i="31"/>
  <c r="N26" i="31"/>
  <c r="N35" i="31"/>
  <c r="N24" i="31"/>
  <c r="N37" i="31"/>
  <c r="N34" i="31"/>
  <c r="N42" i="31"/>
  <c r="N32" i="31"/>
  <c r="N36" i="31"/>
  <c r="N28" i="31"/>
  <c r="N40" i="31"/>
  <c r="N25" i="31"/>
  <c r="N33" i="31"/>
  <c r="N38" i="31"/>
  <c r="N29" i="31"/>
  <c r="N27" i="31"/>
  <c r="N39" i="31"/>
  <c r="N31" i="31"/>
  <c r="N43" i="31"/>
  <c r="N30" i="31"/>
  <c r="N41" i="31"/>
  <c r="P24" i="31"/>
  <c r="P25" i="31"/>
  <c r="P26" i="31"/>
  <c r="P27" i="31"/>
  <c r="P28" i="31"/>
  <c r="P29" i="31"/>
  <c r="P30" i="31"/>
  <c r="P31" i="31"/>
  <c r="P32" i="31"/>
  <c r="P33" i="31"/>
  <c r="P34" i="31"/>
  <c r="P35" i="31"/>
  <c r="P36" i="31"/>
  <c r="P37" i="31"/>
  <c r="P38" i="31"/>
  <c r="P39" i="31"/>
  <c r="P40" i="31"/>
  <c r="P41" i="31"/>
  <c r="P42" i="31"/>
  <c r="P43" i="31"/>
  <c r="J29" i="31"/>
  <c r="J28" i="31"/>
  <c r="J30" i="31"/>
  <c r="J34" i="31"/>
  <c r="J37" i="31"/>
  <c r="J27" i="31"/>
  <c r="J40" i="31"/>
  <c r="J36" i="31"/>
  <c r="J39" i="31"/>
  <c r="J33" i="31"/>
  <c r="J32" i="31"/>
  <c r="B30" i="31" s="1"/>
  <c r="J38" i="31"/>
  <c r="J26" i="31"/>
  <c r="J43" i="31"/>
  <c r="J25" i="31"/>
  <c r="J41" i="31"/>
  <c r="J35" i="31"/>
  <c r="J42" i="31"/>
  <c r="J31" i="31"/>
  <c r="M27" i="31"/>
  <c r="M34" i="31"/>
  <c r="M24" i="31"/>
  <c r="M33" i="31"/>
  <c r="M31" i="31"/>
  <c r="M30" i="31"/>
  <c r="M43" i="31"/>
  <c r="M42" i="31"/>
  <c r="M32" i="31"/>
  <c r="M36" i="31"/>
  <c r="M39" i="31"/>
  <c r="M25" i="31"/>
  <c r="M41" i="31"/>
  <c r="M29" i="31"/>
  <c r="M26" i="31"/>
  <c r="B24" i="31" s="1"/>
  <c r="M37" i="31"/>
  <c r="M40" i="31"/>
  <c r="M28" i="31"/>
  <c r="O24" i="31"/>
  <c r="C22" i="31" s="1"/>
  <c r="M35" i="31"/>
  <c r="M38" i="31"/>
  <c r="O25" i="31"/>
  <c r="C23" i="31" s="1"/>
  <c r="O26" i="31"/>
  <c r="C24" i="31" s="1"/>
  <c r="O27" i="31"/>
  <c r="C25" i="31" s="1"/>
  <c r="O28" i="31"/>
  <c r="O29" i="31"/>
  <c r="O30" i="31"/>
  <c r="C28" i="31" s="1"/>
  <c r="O31" i="31"/>
  <c r="O32" i="31"/>
  <c r="C30" i="31" s="1"/>
  <c r="O33" i="31"/>
  <c r="C31" i="31" s="1"/>
  <c r="O34" i="31"/>
  <c r="C32" i="31" s="1"/>
  <c r="O35" i="31"/>
  <c r="C33" i="31" s="1"/>
  <c r="O36" i="31"/>
  <c r="O37" i="31"/>
  <c r="O38" i="31"/>
  <c r="C36" i="31" s="1"/>
  <c r="O39" i="31"/>
  <c r="O40" i="31"/>
  <c r="C38" i="31" s="1"/>
  <c r="O41" i="31"/>
  <c r="C39" i="31" s="1"/>
  <c r="O42" i="31"/>
  <c r="C40" i="31" s="1"/>
  <c r="O43" i="31"/>
  <c r="C41" i="31" s="1"/>
  <c r="L36" i="11"/>
  <c r="B36" i="11"/>
  <c r="A11" i="21"/>
  <c r="A33" i="20"/>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26" i="33"/>
  <c r="A6" i="11"/>
  <c r="A20" i="35"/>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12" i="27"/>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22" i="3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8" i="25"/>
  <c r="A20" i="32"/>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8" i="24"/>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23" i="23"/>
  <c r="B23" i="23" s="1"/>
  <c r="A15" i="22"/>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E37" i="11"/>
  <c r="J37" i="11"/>
  <c r="A27" i="33"/>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12" i="2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21" i="35"/>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24" i="23"/>
  <c r="A9" i="25"/>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41" i="11"/>
  <c r="A10" i="34"/>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10" i="2"/>
  <c r="C10" i="2" s="1"/>
  <c r="B42" i="11" s="1"/>
  <c r="D24" i="31" l="1"/>
  <c r="C8" i="11" s="1"/>
  <c r="D22" i="31"/>
  <c r="C6" i="11" s="1"/>
  <c r="B40" i="31"/>
  <c r="B37" i="31"/>
  <c r="D30" i="31"/>
  <c r="C14" i="11" s="1"/>
  <c r="D40" i="31"/>
  <c r="C24" i="11" s="1"/>
  <c r="B39" i="31"/>
  <c r="D39" i="31" s="1"/>
  <c r="C23" i="11" s="1"/>
  <c r="B23" i="31"/>
  <c r="D23" i="31" s="1"/>
  <c r="C7" i="11" s="1"/>
  <c r="B32" i="31"/>
  <c r="D32" i="31" s="1"/>
  <c r="C16" i="11" s="1"/>
  <c r="B31" i="31"/>
  <c r="D31" i="31" s="1"/>
  <c r="C15" i="11" s="1"/>
  <c r="B38" i="31"/>
  <c r="D38" i="31" s="1"/>
  <c r="C22" i="11" s="1"/>
  <c r="B29" i="31"/>
  <c r="C37" i="31"/>
  <c r="D37" i="31" s="1"/>
  <c r="C21" i="11" s="1"/>
  <c r="C29" i="31"/>
  <c r="C35" i="31"/>
  <c r="C27" i="31"/>
  <c r="C34" i="31"/>
  <c r="C26" i="31"/>
  <c r="R33" i="20"/>
  <c r="T33" i="20" s="1"/>
  <c r="G6" i="11" s="1"/>
  <c r="B28" i="31"/>
  <c r="D28" i="31" s="1"/>
  <c r="C12" i="11" s="1"/>
  <c r="B35" i="31"/>
  <c r="B27" i="31"/>
  <c r="B36" i="31"/>
  <c r="D36" i="31" s="1"/>
  <c r="C20" i="11" s="1"/>
  <c r="B34" i="31"/>
  <c r="B26" i="31"/>
  <c r="B41" i="31"/>
  <c r="D41" i="31" s="1"/>
  <c r="C25" i="11" s="1"/>
  <c r="B33" i="31"/>
  <c r="D33" i="31" s="1"/>
  <c r="C17" i="11" s="1"/>
  <c r="B25" i="31"/>
  <c r="D25" i="31" s="1"/>
  <c r="C9" i="11" s="1"/>
  <c r="B37" i="11"/>
  <c r="D37" i="11"/>
  <c r="H37" i="11"/>
  <c r="I37" i="11"/>
  <c r="A42" i="11"/>
  <c r="A43" i="11" s="1"/>
  <c r="A44" i="11" s="1"/>
  <c r="A45" i="11" s="1"/>
  <c r="A46" i="11" s="1"/>
  <c r="A47" i="11" s="1"/>
  <c r="A48" i="11" s="1"/>
  <c r="A49" i="11" s="1"/>
  <c r="A50" i="11" s="1"/>
  <c r="A51" i="11" s="1"/>
  <c r="A52" i="11" s="1"/>
  <c r="A53" i="11" s="1"/>
  <c r="C41" i="11"/>
  <c r="A25" i="23"/>
  <c r="B24" i="23"/>
  <c r="Q33" i="20"/>
  <c r="O33" i="20"/>
  <c r="P33" i="20"/>
  <c r="O35" i="20"/>
  <c r="A11" i="2"/>
  <c r="C11" i="2" s="1"/>
  <c r="B43" i="11" s="1"/>
  <c r="D29" i="31" l="1"/>
  <c r="C13" i="11" s="1"/>
  <c r="D27" i="31"/>
  <c r="C11" i="11" s="1"/>
  <c r="D35" i="31"/>
  <c r="C19" i="11" s="1"/>
  <c r="D26" i="31"/>
  <c r="C10" i="11" s="1"/>
  <c r="D34" i="31"/>
  <c r="C18" i="11" s="1"/>
  <c r="C43" i="11"/>
  <c r="C42" i="11"/>
  <c r="A26" i="23"/>
  <c r="B25" i="23"/>
  <c r="K7" i="11"/>
  <c r="K6" i="11"/>
  <c r="S33" i="20"/>
  <c r="F6" i="11" s="1"/>
  <c r="P6" i="11" s="1"/>
  <c r="Q6" i="11" s="1"/>
  <c r="A12" i="2"/>
  <c r="A13" i="2" s="1"/>
  <c r="Q34" i="20"/>
  <c r="R35" i="20"/>
  <c r="Q35" i="20"/>
  <c r="O34" i="20"/>
  <c r="R34" i="20"/>
  <c r="P34" i="20"/>
  <c r="P35" i="20"/>
  <c r="Q36" i="20"/>
  <c r="A54" i="11"/>
  <c r="C37" i="11" l="1"/>
  <c r="C36" i="11"/>
  <c r="C12" i="2"/>
  <c r="B44" i="11" s="1"/>
  <c r="C44" i="11" s="1"/>
  <c r="A27" i="23"/>
  <c r="B26" i="23"/>
  <c r="S35" i="20"/>
  <c r="F8" i="11" s="1"/>
  <c r="T34" i="20"/>
  <c r="G7" i="11" s="1"/>
  <c r="S34" i="20"/>
  <c r="F7" i="11" s="1"/>
  <c r="T35" i="20"/>
  <c r="G8" i="11" s="1"/>
  <c r="P36" i="20"/>
  <c r="O37" i="20"/>
  <c r="O36" i="20"/>
  <c r="R36" i="20"/>
  <c r="A55" i="11"/>
  <c r="A14" i="2"/>
  <c r="C13" i="2"/>
  <c r="B45" i="11" s="1"/>
  <c r="C45" i="11" s="1"/>
  <c r="A28" i="23" l="1"/>
  <c r="B27" i="23"/>
  <c r="K8" i="11"/>
  <c r="K9" i="11"/>
  <c r="S36" i="20"/>
  <c r="F9" i="11" s="1"/>
  <c r="T36" i="20"/>
  <c r="G9" i="11" s="1"/>
  <c r="O38" i="20"/>
  <c r="Q37" i="20"/>
  <c r="R37" i="20"/>
  <c r="P37" i="20"/>
  <c r="A15" i="2"/>
  <c r="C14" i="2"/>
  <c r="B46" i="11" s="1"/>
  <c r="C46" i="11" s="1"/>
  <c r="A29" i="23" l="1"/>
  <c r="B28" i="23"/>
  <c r="K10" i="11"/>
  <c r="S37" i="20"/>
  <c r="F10" i="11" s="1"/>
  <c r="P39" i="20"/>
  <c r="T37" i="20"/>
  <c r="G10" i="11" s="1"/>
  <c r="P38" i="20"/>
  <c r="Q38" i="20"/>
  <c r="R38" i="20"/>
  <c r="A16" i="2"/>
  <c r="C15" i="2"/>
  <c r="B47" i="11" s="1"/>
  <c r="C47" i="11" s="1"/>
  <c r="A30" i="23" l="1"/>
  <c r="B29" i="23"/>
  <c r="R40" i="20"/>
  <c r="O39" i="20"/>
  <c r="S38" i="20"/>
  <c r="F11" i="11" s="1"/>
  <c r="R39" i="20"/>
  <c r="T39" i="20" s="1"/>
  <c r="G12" i="11" s="1"/>
  <c r="Q39" i="20"/>
  <c r="T38" i="20"/>
  <c r="G11" i="11" s="1"/>
  <c r="Q40" i="20"/>
  <c r="A17" i="2"/>
  <c r="C16" i="2"/>
  <c r="B48" i="11" s="1"/>
  <c r="C48" i="11" s="1"/>
  <c r="A31" i="23" l="1"/>
  <c r="B30" i="23"/>
  <c r="K11" i="11"/>
  <c r="K12" i="11"/>
  <c r="P40" i="20"/>
  <c r="O40" i="20"/>
  <c r="S39" i="20"/>
  <c r="F12" i="11" s="1"/>
  <c r="T40" i="20"/>
  <c r="G13" i="11" s="1"/>
  <c r="O41" i="20"/>
  <c r="P41" i="20"/>
  <c r="R41" i="20"/>
  <c r="Q41" i="20"/>
  <c r="A18" i="2"/>
  <c r="C17" i="2"/>
  <c r="B49" i="11" s="1"/>
  <c r="C49" i="11" s="1"/>
  <c r="A32" i="23" l="1"/>
  <c r="B31" i="23"/>
  <c r="K13" i="11"/>
  <c r="S40" i="20"/>
  <c r="F13" i="11" s="1"/>
  <c r="T41" i="20"/>
  <c r="G14" i="11" s="1"/>
  <c r="S41" i="20"/>
  <c r="F14" i="11" s="1"/>
  <c r="O42" i="20"/>
  <c r="P42" i="20"/>
  <c r="Q42" i="20"/>
  <c r="R42" i="20"/>
  <c r="A19" i="2"/>
  <c r="C18" i="2"/>
  <c r="B50" i="11" s="1"/>
  <c r="C50" i="11" s="1"/>
  <c r="A33" i="23" l="1"/>
  <c r="B32" i="23"/>
  <c r="K14" i="11"/>
  <c r="S42" i="20"/>
  <c r="F15" i="11" s="1"/>
  <c r="T42" i="20"/>
  <c r="G15" i="11" s="1"/>
  <c r="O43" i="20"/>
  <c r="P43" i="20"/>
  <c r="Q43" i="20"/>
  <c r="R43" i="20"/>
  <c r="A20" i="2"/>
  <c r="C19" i="2"/>
  <c r="B51" i="11" s="1"/>
  <c r="C51" i="11" s="1"/>
  <c r="A34" i="23" l="1"/>
  <c r="B33" i="23"/>
  <c r="K15" i="11"/>
  <c r="T43" i="20"/>
  <c r="G16" i="11" s="1"/>
  <c r="S43" i="20"/>
  <c r="F16" i="11" s="1"/>
  <c r="O44" i="20"/>
  <c r="P44" i="20"/>
  <c r="Q44" i="20"/>
  <c r="R44" i="20"/>
  <c r="A21" i="2"/>
  <c r="C20" i="2"/>
  <c r="B52" i="11" s="1"/>
  <c r="C52" i="11" s="1"/>
  <c r="A35" i="23" l="1"/>
  <c r="B34" i="23"/>
  <c r="K16" i="11"/>
  <c r="S44" i="20"/>
  <c r="F17" i="11" s="1"/>
  <c r="T44" i="20"/>
  <c r="G17" i="11" s="1"/>
  <c r="O45" i="20"/>
  <c r="P45" i="20"/>
  <c r="R45" i="20"/>
  <c r="Q45" i="20"/>
  <c r="A22" i="2"/>
  <c r="C21" i="2"/>
  <c r="B53" i="11" s="1"/>
  <c r="C53" i="11" s="1"/>
  <c r="A36" i="23" l="1"/>
  <c r="B35" i="23"/>
  <c r="K17" i="11"/>
  <c r="S45" i="20"/>
  <c r="F18" i="11" s="1"/>
  <c r="T45" i="20"/>
  <c r="G18" i="11" s="1"/>
  <c r="O46" i="20"/>
  <c r="P46" i="20"/>
  <c r="Q46" i="20"/>
  <c r="R46" i="20"/>
  <c r="A23" i="2"/>
  <c r="C23" i="2" s="1"/>
  <c r="B55" i="11" s="1"/>
  <c r="C22" i="2"/>
  <c r="B54" i="11" s="1"/>
  <c r="C54" i="11" s="1"/>
  <c r="C55" i="11" l="1"/>
  <c r="B56" i="11"/>
  <c r="A37" i="23"/>
  <c r="B36" i="23"/>
  <c r="K18" i="11"/>
  <c r="S46" i="20"/>
  <c r="F19" i="11" s="1"/>
  <c r="T46" i="20"/>
  <c r="G19" i="11" s="1"/>
  <c r="C56" i="11"/>
  <c r="O47" i="20"/>
  <c r="P47" i="20"/>
  <c r="Q47" i="20"/>
  <c r="R47" i="20"/>
  <c r="A38" i="23" l="1"/>
  <c r="B37" i="23"/>
  <c r="K19" i="11"/>
  <c r="S47" i="20"/>
  <c r="F20" i="11" s="1"/>
  <c r="T47" i="20"/>
  <c r="G20" i="11" s="1"/>
  <c r="O48" i="20"/>
  <c r="P48" i="20"/>
  <c r="Q48" i="20"/>
  <c r="R48" i="20"/>
  <c r="A39" i="23" l="1"/>
  <c r="B38" i="23"/>
  <c r="K20" i="11"/>
  <c r="T48" i="20"/>
  <c r="G21" i="11" s="1"/>
  <c r="S48" i="20"/>
  <c r="F21" i="11" s="1"/>
  <c r="O49" i="20"/>
  <c r="P49" i="20"/>
  <c r="R49" i="20"/>
  <c r="Q49" i="20"/>
  <c r="A40" i="23" l="1"/>
  <c r="B39" i="23"/>
  <c r="K21" i="11"/>
  <c r="S49" i="20"/>
  <c r="F22" i="11" s="1"/>
  <c r="T49" i="20"/>
  <c r="G22" i="11" s="1"/>
  <c r="O50" i="20"/>
  <c r="P50" i="20"/>
  <c r="Q50" i="20"/>
  <c r="R50" i="20"/>
  <c r="A41" i="23" l="1"/>
  <c r="B40" i="23"/>
  <c r="K22" i="11"/>
  <c r="S50" i="20"/>
  <c r="F23" i="11" s="1"/>
  <c r="T50" i="20"/>
  <c r="G23" i="11" s="1"/>
  <c r="P51" i="20"/>
  <c r="O51" i="20"/>
  <c r="Q51" i="20"/>
  <c r="R51" i="20"/>
  <c r="A42" i="23" l="1"/>
  <c r="B42" i="23" s="1"/>
  <c r="B41" i="23"/>
  <c r="K23" i="11"/>
  <c r="S51" i="20"/>
  <c r="F24" i="11" s="1"/>
  <c r="T51" i="20"/>
  <c r="G24" i="11" s="1"/>
  <c r="O52" i="20"/>
  <c r="P52" i="20"/>
  <c r="Q52" i="20"/>
  <c r="R52" i="20"/>
  <c r="A43" i="23" l="1"/>
  <c r="K24" i="11"/>
  <c r="S52" i="20"/>
  <c r="F25" i="11" s="1"/>
  <c r="T52" i="20"/>
  <c r="G25" i="11" s="1"/>
  <c r="P53" i="20"/>
  <c r="R53" i="20"/>
  <c r="Q53" i="20"/>
  <c r="O53" i="20"/>
  <c r="A44" i="23" l="1"/>
  <c r="B43" i="23"/>
  <c r="K25" i="11"/>
  <c r="T53" i="20"/>
  <c r="G26" i="11" s="1"/>
  <c r="S53" i="20"/>
  <c r="F26" i="11" s="1"/>
  <c r="O54" i="20"/>
  <c r="P54" i="20"/>
  <c r="Q54" i="20"/>
  <c r="R54" i="20"/>
  <c r="A45" i="23" l="1"/>
  <c r="B44" i="23"/>
  <c r="K26" i="11"/>
  <c r="P26" i="11" s="1"/>
  <c r="Q26" i="11" s="1"/>
  <c r="S54" i="20"/>
  <c r="F27" i="11" s="1"/>
  <c r="T54" i="20"/>
  <c r="G27" i="11" s="1"/>
  <c r="O55" i="20"/>
  <c r="P55" i="20"/>
  <c r="Q55" i="20"/>
  <c r="R55" i="20"/>
  <c r="A46" i="23" l="1"/>
  <c r="B45" i="23"/>
  <c r="K27" i="11"/>
  <c r="P27" i="11" s="1"/>
  <c r="Q27" i="11" s="1"/>
  <c r="S55" i="20"/>
  <c r="F28" i="11" s="1"/>
  <c r="T55" i="20"/>
  <c r="G28" i="11" s="1"/>
  <c r="O56" i="20"/>
  <c r="P56" i="20"/>
  <c r="Q56" i="20"/>
  <c r="R56" i="20"/>
  <c r="A47" i="23" l="1"/>
  <c r="B46" i="23"/>
  <c r="K28" i="11"/>
  <c r="P28" i="11" s="1"/>
  <c r="Q28" i="11" s="1"/>
  <c r="T56" i="20"/>
  <c r="G29" i="11" s="1"/>
  <c r="S56" i="20"/>
  <c r="F29" i="11" s="1"/>
  <c r="O57" i="20"/>
  <c r="P57" i="20"/>
  <c r="R57" i="20"/>
  <c r="Q57" i="20"/>
  <c r="A48" i="23" l="1"/>
  <c r="B47" i="23"/>
  <c r="K29" i="11"/>
  <c r="P29" i="11" s="1"/>
  <c r="Q29" i="11" s="1"/>
  <c r="S57" i="20"/>
  <c r="F30" i="11" s="1"/>
  <c r="T57" i="20"/>
  <c r="G30" i="11" s="1"/>
  <c r="O58" i="20"/>
  <c r="P58" i="20"/>
  <c r="Q58" i="20"/>
  <c r="R58" i="20"/>
  <c r="A49" i="23" l="1"/>
  <c r="B48" i="23"/>
  <c r="K30" i="11"/>
  <c r="P30" i="11" s="1"/>
  <c r="Q30" i="11" s="1"/>
  <c r="S58" i="20"/>
  <c r="F31" i="11" s="1"/>
  <c r="T58" i="20"/>
  <c r="G31" i="11" s="1"/>
  <c r="O59" i="20"/>
  <c r="P59" i="20"/>
  <c r="Q59" i="20"/>
  <c r="R59" i="20"/>
  <c r="A50" i="23" l="1"/>
  <c r="B49" i="23"/>
  <c r="K31" i="11"/>
  <c r="P31" i="11" s="1"/>
  <c r="Q31" i="11" s="1"/>
  <c r="S59" i="20"/>
  <c r="F32" i="11" s="1"/>
  <c r="T59" i="20"/>
  <c r="G32" i="11" s="1"/>
  <c r="O60" i="20"/>
  <c r="P60" i="20"/>
  <c r="Q60" i="20"/>
  <c r="R60" i="20"/>
  <c r="A51" i="23" l="1"/>
  <c r="B50" i="23"/>
  <c r="K32" i="11"/>
  <c r="P32" i="11" s="1"/>
  <c r="Q32" i="11" s="1"/>
  <c r="S60" i="20"/>
  <c r="F33" i="11" s="1"/>
  <c r="T60" i="20"/>
  <c r="G33" i="11" s="1"/>
  <c r="O61" i="20"/>
  <c r="P61" i="20"/>
  <c r="R61" i="20"/>
  <c r="Q61" i="20"/>
  <c r="A52" i="23" l="1"/>
  <c r="B52" i="23" s="1"/>
  <c r="B51" i="23"/>
  <c r="K33" i="11"/>
  <c r="P33" i="11" s="1"/>
  <c r="Q33" i="11" s="1"/>
  <c r="S61" i="20"/>
  <c r="F34" i="11" s="1"/>
  <c r="T61" i="20"/>
  <c r="G34" i="11" s="1"/>
  <c r="O62" i="20"/>
  <c r="P62" i="20"/>
  <c r="Q62" i="20"/>
  <c r="R62" i="20"/>
  <c r="K34" i="11" l="1"/>
  <c r="P34" i="11" s="1"/>
  <c r="Q34" i="11" s="1"/>
  <c r="S62" i="20"/>
  <c r="F35" i="11" s="1"/>
  <c r="T62" i="20"/>
  <c r="G35" i="11" s="1"/>
  <c r="G36" i="11" l="1"/>
  <c r="F37" i="11"/>
  <c r="F36" i="11"/>
  <c r="K35" i="11"/>
  <c r="K37" i="11" l="1"/>
  <c r="K36" i="11"/>
  <c r="P35" i="11"/>
  <c r="Q35" i="11" l="1"/>
  <c r="O6" i="11"/>
  <c r="O25" i="11"/>
  <c r="P25" i="11" s="1"/>
  <c r="Q25" i="11" s="1"/>
  <c r="O24" i="11"/>
  <c r="P24" i="11" s="1"/>
  <c r="Q24" i="11" s="1"/>
  <c r="O23" i="11"/>
  <c r="P23" i="11" s="1"/>
  <c r="Q23" i="11" s="1"/>
  <c r="O22" i="11"/>
  <c r="P22" i="11" s="1"/>
  <c r="Q22" i="11" s="1"/>
  <c r="O21" i="11"/>
  <c r="P21" i="11" s="1"/>
  <c r="Q21" i="11" s="1"/>
  <c r="O20" i="11"/>
  <c r="P20" i="11" s="1"/>
  <c r="Q20" i="11" s="1"/>
  <c r="O19" i="11"/>
  <c r="P19" i="11" s="1"/>
  <c r="Q19" i="11" s="1"/>
  <c r="O18" i="11"/>
  <c r="P18" i="11" s="1"/>
  <c r="Q18" i="11" s="1"/>
  <c r="O17" i="11"/>
  <c r="P17" i="11" s="1"/>
  <c r="Q17" i="11" s="1"/>
  <c r="O16" i="11"/>
  <c r="P16" i="11" s="1"/>
  <c r="Q16" i="11" s="1"/>
  <c r="O15" i="11"/>
  <c r="P15" i="11" s="1"/>
  <c r="Q15" i="11" s="1"/>
  <c r="O14" i="11"/>
  <c r="P14" i="11" s="1"/>
  <c r="Q14" i="11" s="1"/>
  <c r="O13" i="11"/>
  <c r="P13" i="11" s="1"/>
  <c r="Q13" i="11" s="1"/>
  <c r="O12" i="11"/>
  <c r="P12" i="11" s="1"/>
  <c r="Q12" i="11" s="1"/>
  <c r="O11" i="11"/>
  <c r="P11" i="11" s="1"/>
  <c r="Q11" i="11" s="1"/>
  <c r="O10" i="11"/>
  <c r="P10" i="11" s="1"/>
  <c r="Q10" i="11" s="1"/>
  <c r="O8" i="11"/>
  <c r="P8" i="11" s="1"/>
  <c r="Q8" i="11" s="1"/>
  <c r="O9" i="11"/>
  <c r="P9" i="11" s="1"/>
  <c r="Q9" i="11" s="1"/>
  <c r="O7" i="11"/>
  <c r="O36" i="11" l="1"/>
  <c r="P7" i="11"/>
  <c r="Q7" i="11" s="1"/>
  <c r="Q37" i="11" s="1"/>
  <c r="P36" i="11" l="1"/>
  <c r="B5" i="30" l="1"/>
  <c r="Q36" i="11"/>
  <c r="B7" i="30" l="1"/>
  <c r="B8" i="30"/>
</calcChain>
</file>

<file path=xl/sharedStrings.xml><?xml version="1.0" encoding="utf-8"?>
<sst xmlns="http://schemas.openxmlformats.org/spreadsheetml/2006/main" count="1324" uniqueCount="596">
  <si>
    <t>User Volumes</t>
  </si>
  <si>
    <t>Capital Costs</t>
  </si>
  <si>
    <t>Operations and Maintenance</t>
  </si>
  <si>
    <t>Travel Time Savings</t>
  </si>
  <si>
    <t>Vehicle Operating Cost Savings</t>
  </si>
  <si>
    <t>Emissions Reduction</t>
  </si>
  <si>
    <t>Other Highway Use Externalities</t>
  </si>
  <si>
    <t>Residual Value</t>
  </si>
  <si>
    <t>USDOT Benefit-Cost Analysis Spreadsheet Template</t>
  </si>
  <si>
    <t>---------------------------------------------------------------------------------------------------------------------------------------------------------------------------------------------------------------</t>
  </si>
  <si>
    <t>What is the USDOT Benefit-Cost Analysis Spreadsheet Template?</t>
  </si>
  <si>
    <t xml:space="preserve">The USDOT Benefit-Cost Analysis Spreadsheet Template is being offered as a resource to applicants to help them get started on their BCA. Applicants are NOT required to use this template, it is simply offered as a convenience. </t>
  </si>
  <si>
    <t>-------------------------------------------------------------------------------------------------------------------------------------------------------------------------------------------------------------</t>
  </si>
  <si>
    <t>What You Need</t>
  </si>
  <si>
    <t>•	  Understanding of the project and the problem it is intended to solve.</t>
  </si>
  <si>
    <t>•	  The estimated costs of the project.</t>
  </si>
  <si>
    <t>•	  Information needed to estimate the benefits of the project (e.g., number users, baseline conditions, measures of effectiveness, expected service life).</t>
  </si>
  <si>
    <t>Notes</t>
  </si>
  <si>
    <r>
      <t xml:space="preserve">• </t>
    </r>
    <r>
      <rPr>
        <b/>
        <sz val="11"/>
        <rFont val="Calibri"/>
        <family val="2"/>
        <scheme val="minor"/>
      </rPr>
      <t>Input, Optional, and No-Input cells.</t>
    </r>
  </si>
  <si>
    <r>
      <t xml:space="preserve">      o Green, </t>
    </r>
    <r>
      <rPr>
        <b/>
        <sz val="11"/>
        <rFont val="Calibri"/>
        <family val="2"/>
        <scheme val="minor"/>
      </rPr>
      <t>bold</t>
    </r>
    <r>
      <rPr>
        <sz val="11"/>
        <rFont val="Calibri"/>
        <family val="2"/>
        <scheme val="minor"/>
      </rPr>
      <t xml:space="preserve">, and </t>
    </r>
    <r>
      <rPr>
        <u/>
        <sz val="11"/>
        <rFont val="Calibri"/>
        <family val="2"/>
        <scheme val="minor"/>
      </rPr>
      <t>underlined</t>
    </r>
    <r>
      <rPr>
        <sz val="11"/>
        <rFont val="Calibri"/>
        <family val="2"/>
        <scheme val="minor"/>
      </rPr>
      <t xml:space="preserve"> cells represent user input cells. These cells are available for input from the user.</t>
    </r>
  </si>
  <si>
    <r>
      <t xml:space="preserve">      o Blue and </t>
    </r>
    <r>
      <rPr>
        <i/>
        <sz val="11"/>
        <rFont val="Calibri"/>
        <family val="2"/>
        <scheme val="minor"/>
      </rPr>
      <t xml:space="preserve">italic </t>
    </r>
    <r>
      <rPr>
        <sz val="11"/>
        <rFont val="Calibri"/>
        <family val="2"/>
        <scheme val="minor"/>
      </rPr>
      <t>cells represent cells where the user may want to edit the formula depending on their project details</t>
    </r>
  </si>
  <si>
    <t xml:space="preserve">      o Gray and plain text cells represent a cell that does not require user input, and should not be edited.</t>
  </si>
  <si>
    <r>
      <t xml:space="preserve">•  	</t>
    </r>
    <r>
      <rPr>
        <b/>
        <sz val="11"/>
        <rFont val="Calibri"/>
        <family val="2"/>
        <scheme val="minor"/>
      </rPr>
      <t xml:space="preserve">Build vs No Build. </t>
    </r>
    <r>
      <rPr>
        <sz val="11"/>
        <rFont val="Calibri"/>
        <family val="2"/>
        <scheme val="minor"/>
      </rPr>
      <t>If you only have data for the difference between the Build and No Build scenarios, enter this data into the "Build" column and leave the "No Build" values at $0. This will still appropriately estimate the benefit</t>
    </r>
  </si>
  <si>
    <r>
      <t xml:space="preserve">•  	</t>
    </r>
    <r>
      <rPr>
        <b/>
        <sz val="11"/>
        <rFont val="Calibri"/>
        <family val="2"/>
        <scheme val="minor"/>
      </rPr>
      <t xml:space="preserve">Deleting a Tab. </t>
    </r>
    <r>
      <rPr>
        <sz val="11"/>
        <rFont val="Calibri"/>
        <family val="2"/>
        <scheme val="minor"/>
      </rPr>
      <t>Do not delete tabs. If a tab is not needed, simply skip it.</t>
    </r>
  </si>
  <si>
    <r>
      <rPr>
        <b/>
        <sz val="11"/>
        <rFont val="Calibri"/>
        <family val="2"/>
        <scheme val="minor"/>
      </rPr>
      <t>•  Parameter Values.</t>
    </r>
    <r>
      <rPr>
        <sz val="11"/>
        <rFont val="Calibri"/>
        <family val="2"/>
        <scheme val="minor"/>
      </rPr>
      <t xml:space="preserve"> This template provides a copy of the Appendix A tables from the USDOT BCA guidance document in a spreadsheet format, located on the "Parameter Values" sheet. </t>
    </r>
  </si>
  <si>
    <t>Model Base Year</t>
  </si>
  <si>
    <t>Model Date</t>
  </si>
  <si>
    <t>*Note: This version updates the model dated 12/5/23 to correct the formulas in cells D12-D16 of the Residual Value sheet. Applicants who are not making use of those rows may continue to use the previous version dated 12/5/23.</t>
  </si>
  <si>
    <t>Project Information</t>
  </si>
  <si>
    <t>Applicants should fill out this sheet first, before moving on to the remainder of the template sheets.</t>
  </si>
  <si>
    <t>-</t>
  </si>
  <si>
    <t>Table 1. Project Information</t>
  </si>
  <si>
    <t>Variable</t>
  </si>
  <si>
    <t>Value</t>
  </si>
  <si>
    <t>First Year of Project Development/Construction</t>
  </si>
  <si>
    <t>&lt;-For project development costs prior to the model base year, enter into the "Capital Cost" tab in the cell for previously incurred costs</t>
  </si>
  <si>
    <t>Length of Construction/Project Development Period (in Years)</t>
  </si>
  <si>
    <t>&lt;-Enter a whole number value between 1 and 15, only include project development years after the model base year</t>
  </si>
  <si>
    <t>Opening Year</t>
  </si>
  <si>
    <t>Operational Period Length</t>
  </si>
  <si>
    <t>&lt;-See USDOT BCA Guidance for discussion of how to determine the appropriate operational period length</t>
  </si>
  <si>
    <t>Final Analysis Year</t>
  </si>
  <si>
    <t>Parameter Values</t>
  </si>
  <si>
    <t>This sheet provides a copy of parameter and monetization values from Appendix A of the USDOT BCA Guidance, and is provided for convenience.</t>
  </si>
  <si>
    <t>Source: USDOT BCA Guidance (Appendix A)</t>
  </si>
  <si>
    <t>Table A-1a: Value of Reduced Fatalities, Injuries, and Crashes</t>
  </si>
  <si>
    <t>KABCO Level</t>
  </si>
  <si>
    <t>Monetized Value (2022 $)</t>
  </si>
  <si>
    <t>O - No Injury</t>
  </si>
  <si>
    <t>C - Possible Injury</t>
  </si>
  <si>
    <t>B - Non-incapacitating</t>
  </si>
  <si>
    <t>A - Incapacitating</t>
  </si>
  <si>
    <t>K - Killed</t>
  </si>
  <si>
    <t>U - Injured (Severity Unknown)</t>
  </si>
  <si>
    <t>Table A-1b: Value of Reduced Fatal, Injury, and PDO Crashes</t>
  </si>
  <si>
    <t>Crash Type</t>
  </si>
  <si>
    <t>PDO Crash</t>
  </si>
  <si>
    <t>Injury Crash</t>
  </si>
  <si>
    <t>Fatal Crash</t>
  </si>
  <si>
    <t>Table A-2: Value of Travel Time Savings</t>
  </si>
  <si>
    <t>Recommended Hourly Values of Travel Time Savings</t>
  </si>
  <si>
    <t>(2022 $ per person-hour)</t>
  </si>
  <si>
    <t>Category</t>
  </si>
  <si>
    <t>Hourly Value</t>
  </si>
  <si>
    <t>General Travel Time</t>
  </si>
  <si>
    <r>
      <t>Personal</t>
    </r>
    <r>
      <rPr>
        <vertAlign val="superscript"/>
        <sz val="11"/>
        <color rgb="FF1F497D"/>
        <rFont val="Times New Roman"/>
        <family val="1"/>
      </rPr>
      <t>1</t>
    </r>
  </si>
  <si>
    <r>
      <t>Business</t>
    </r>
    <r>
      <rPr>
        <vertAlign val="superscript"/>
        <sz val="11"/>
        <color rgb="FF1F497D"/>
        <rFont val="Times New Roman"/>
        <family val="1"/>
      </rPr>
      <t>2</t>
    </r>
  </si>
  <si>
    <r>
      <t>All Purpose</t>
    </r>
    <r>
      <rPr>
        <vertAlign val="superscript"/>
        <sz val="11"/>
        <color rgb="FF1F497D"/>
        <rFont val="Times New Roman"/>
        <family val="1"/>
      </rPr>
      <t>3</t>
    </r>
  </si>
  <si>
    <r>
      <t>Walking, Cycling, Waiting, Standing, and Transfer Time</t>
    </r>
    <r>
      <rPr>
        <vertAlign val="superscript"/>
        <sz val="11"/>
        <color rgb="FF1F497D"/>
        <rFont val="Times New Roman"/>
        <family val="1"/>
      </rPr>
      <t>4</t>
    </r>
  </si>
  <si>
    <r>
      <t>Commercial Vehicle Operators</t>
    </r>
    <r>
      <rPr>
        <vertAlign val="superscript"/>
        <sz val="11"/>
        <color rgb="FF1F497D"/>
        <rFont val="Times New Roman"/>
        <family val="1"/>
      </rPr>
      <t>5</t>
    </r>
  </si>
  <si>
    <t>Truck Drivers</t>
  </si>
  <si>
    <t>Bus Drivers</t>
  </si>
  <si>
    <t>Transit Rail Operators</t>
  </si>
  <si>
    <t>Locomotive Engineers</t>
  </si>
  <si>
    <t>1)  Values for personal travel based on local travel values as described in USDOT’s Value of Travel Time guidance. Where applicants also have specific information on the mix of local versus long-distance travel (i.e., trips over 50 miles in length) on a facility, then the local travel values of time may be blended with the long-distance personal travel value of $25.10 per hour.</t>
  </si>
  <si>
    <t>2)  Weighted average based on a typical distribution of local travel by surface modes (88.2% personal, 11.8% business). Applicants should apply their own distribution of business versus personal travel where such information is available.</t>
  </si>
  <si>
    <t>3)  Note that business travel does not include commuting travel, which should be valued at the personal travel rate. Travel on high-speed rail service that would be competitive with air travel should be valued at $47.70 per hour for personal travel and $80.20 for business travel.</t>
  </si>
  <si>
    <t>4)  Should be applied only when actions affect those elements of travel time.</t>
  </si>
  <si>
    <t>5)  Includes only the value of time for the operator, not passengers or freight.</t>
  </si>
  <si>
    <t>Table A-3: Average Vehicle Occupancy Rates for Highway Passenger Vehicles</t>
  </si>
  <si>
    <t>Vehicle Type</t>
  </si>
  <si>
    <t>Average Occupancy</t>
  </si>
  <si>
    <r>
      <t>Passenger Vehicles (Weekday Peak)</t>
    </r>
    <r>
      <rPr>
        <vertAlign val="superscript"/>
        <sz val="11"/>
        <color rgb="FF1F497D"/>
        <rFont val="Times New Roman"/>
        <family val="1"/>
      </rPr>
      <t>1</t>
    </r>
  </si>
  <si>
    <t>Passenger Vehicles (Weekday Off-Peak)</t>
  </si>
  <si>
    <t>Passenger Vehicles (Weekend)</t>
  </si>
  <si>
    <t>Passenger Vehicles (All Travel)</t>
  </si>
  <si>
    <t>1) Weekday peak period values calculated for trips starting between 6:00 AM-8:59 AM and 4:00 PM-6:59 PM.</t>
  </si>
  <si>
    <t>Table A-4: Vehicle Operating Costs</t>
  </si>
  <si>
    <t>Recommended Value per Mile (2022 $)</t>
  </si>
  <si>
    <r>
      <t>Light Duty Vehicles</t>
    </r>
    <r>
      <rPr>
        <vertAlign val="superscript"/>
        <sz val="11"/>
        <color theme="1"/>
        <rFont val="Times New Roman"/>
        <family val="1"/>
      </rPr>
      <t>1</t>
    </r>
  </si>
  <si>
    <r>
      <t>Commercial Trucks</t>
    </r>
    <r>
      <rPr>
        <vertAlign val="superscript"/>
        <sz val="11"/>
        <color theme="1"/>
        <rFont val="Times New Roman"/>
        <family val="1"/>
      </rPr>
      <t>2</t>
    </r>
  </si>
  <si>
    <t>1)  Based on an average light duty vehicle and includes operating costs such as gasoline, maintenance, tires, and depreciation (assuming an average of 15,000 miles driven per year). The value omits other ownership costs that are mostly fixed or transfers (insurance, license, registration, taxes, and financing charges).</t>
  </si>
  <si>
    <t>2)  Value includes fuel costs, truck/trailer lease or purchase payments, repair and maintenance, truck insurance premiums, permits and licenses, and tires. The value omits tolls (which are transfers), and driver wages and benefits (which are already included in the value of travel time savings).</t>
  </si>
  <si>
    <t>Table A-5: Train Operating and Social Costs</t>
  </si>
  <si>
    <t>Recommended Value per Hour (2022 $)</t>
  </si>
  <si>
    <t>Train and Movement Type</t>
  </si>
  <si>
    <r>
      <t>Operating Costs</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</si>
  <si>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Costs</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</si>
  <si>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Costs</t>
    </r>
    <r>
      <rPr>
        <vertAlign val="superscript"/>
        <sz val="11"/>
        <color theme="0"/>
        <rFont val="Times New Roman"/>
        <family val="1"/>
      </rPr>
      <t>2</t>
    </r>
  </si>
  <si>
    <t>Idling</t>
  </si>
  <si>
    <t>Freight Train</t>
  </si>
  <si>
    <t>Commuter Train</t>
  </si>
  <si>
    <t>Amtrak Long-Distance</t>
  </si>
  <si>
    <t>Amtrak State-Supported</t>
  </si>
  <si>
    <t>Hauling</t>
  </si>
  <si>
    <t>All Movements</t>
  </si>
  <si>
    <t>Freight Railcar</t>
  </si>
  <si>
    <t>*</t>
  </si>
  <si>
    <t>1)  Includes fuel cost, depreciation, and labor cost which should be discounted at 3.1 percent.</t>
  </si>
  <si>
    <t>2)  Emissions are based on the current diesel-electric locomotive fleet average, and thus the emission values above should not be applied in cases where new locomotives are being acquired or in cases of electrified rail. The monetization applies the 2035-year emission value to approximate increasing emission damage costs over time. Non-CO2 emission costs should be discounted at 3.1 percent and CO2 emission costs should be discounted at 2.0 percent.</t>
  </si>
  <si>
    <t>Table A-6: Damage Costs for Emissions per Metric Ton*</t>
  </si>
  <si>
    <t>Emission Type</t>
  </si>
  <si>
    <r>
      <t>NO</t>
    </r>
    <r>
      <rPr>
        <vertAlign val="subscript"/>
        <sz val="11"/>
        <color theme="0"/>
        <rFont val="Times New Roman"/>
        <family val="1"/>
      </rPr>
      <t>X</t>
    </r>
  </si>
  <si>
    <r>
      <t>SO</t>
    </r>
    <r>
      <rPr>
        <vertAlign val="subscript"/>
        <sz val="11"/>
        <color theme="0"/>
        <rFont val="Times New Roman"/>
        <family val="1"/>
      </rPr>
      <t>X</t>
    </r>
  </si>
  <si>
    <r>
      <t>PM</t>
    </r>
    <r>
      <rPr>
        <vertAlign val="subscript"/>
        <sz val="11"/>
        <color theme="0"/>
        <rFont val="Times New Roman"/>
        <family val="1"/>
      </rPr>
      <t>2.5</t>
    </r>
    <r>
      <rPr>
        <sz val="11"/>
        <color theme="0"/>
        <rFont val="Times New Roman"/>
        <family val="1"/>
      </rPr>
      <t>**</t>
    </r>
  </si>
  <si>
    <r>
      <t>CO</t>
    </r>
    <r>
      <rPr>
        <vertAlign val="subscript"/>
        <sz val="11"/>
        <color theme="0"/>
        <rFont val="Times New Roman"/>
        <family val="1"/>
      </rPr>
      <t>2</t>
    </r>
  </si>
  <si>
    <t>*Applicants should carefully note whether their emissions data is reported in short tons or metric tons. A metric ton is equal to 1.1023 short tons.</t>
  </si>
  <si>
    <r>
      <t>**Applicants should be careful to not apply the PM</t>
    </r>
    <r>
      <rPr>
        <vertAlign val="subscript"/>
        <sz val="11"/>
        <color rgb="FF1F497D"/>
        <rFont val="Times New Roman"/>
        <family val="1"/>
      </rPr>
      <t>2.5</t>
    </r>
    <r>
      <rPr>
        <sz val="11"/>
        <color rgb="FF1F497D"/>
        <rFont val="Times New Roman"/>
        <family val="1"/>
      </rPr>
      <t xml:space="preserve"> value to estimates of total emissions of PM</t>
    </r>
    <r>
      <rPr>
        <vertAlign val="subscript"/>
        <sz val="11"/>
        <color rgb="FF1F497D"/>
        <rFont val="Times New Roman"/>
        <family val="1"/>
      </rPr>
      <t>10</t>
    </r>
    <r>
      <rPr>
        <sz val="11"/>
        <color rgb="FF1F497D"/>
        <rFont val="Times New Roman"/>
        <family val="1"/>
      </rPr>
      <t>.</t>
    </r>
  </si>
  <si>
    <t>Table A-7: Inflation Adjustment Values</t>
  </si>
  <si>
    <t>Base Year of Nominal Dollar</t>
  </si>
  <si>
    <t>Multiplier to Adjust to Real 2022 $</t>
  </si>
  <si>
    <t>Table A-8: Pedestrian Facility Improvements Revealed Preference Values</t>
  </si>
  <si>
    <t>Improvement Type</t>
  </si>
  <si>
    <r>
      <t>Recommended Value per Person-Mile Walked (2022 $)</t>
    </r>
    <r>
      <rPr>
        <vertAlign val="superscript"/>
        <sz val="11"/>
        <color theme="0"/>
        <rFont val="Times New Roman"/>
        <family val="1"/>
      </rPr>
      <t>1</t>
    </r>
  </si>
  <si>
    <r>
      <t>Expand Sidewalk (per foot of added width)</t>
    </r>
    <r>
      <rPr>
        <vertAlign val="superscript"/>
        <sz val="11"/>
        <color rgb="FF1F497D"/>
        <rFont val="Times New Roman"/>
        <family val="1"/>
      </rPr>
      <t>2</t>
    </r>
  </si>
  <si>
    <t>Reducing Upslope by 1%</t>
  </si>
  <si>
    <t>Reducing Traffic Speed by 1 mph (for speeds ≤45 mph)</t>
  </si>
  <si>
    <t>Reducing Traffic Volume by 1 Vehicle per Hour (for ADT &lt;55,000)</t>
  </si>
  <si>
    <r>
      <t>Recommended Value per Use (2022 $)</t>
    </r>
    <r>
      <rPr>
        <vertAlign val="superscript"/>
        <sz val="11"/>
        <color theme="0"/>
        <rFont val="Times New Roman"/>
        <family val="1"/>
      </rPr>
      <t>1</t>
    </r>
  </si>
  <si>
    <t>Install Marked-Crosswalk on Roadway with Volumes ≥10,000 Vehicle per Day</t>
  </si>
  <si>
    <t>Install Signal for Pedestrian Crossing on Roadway with Volumes ≥13,000 Vehicles per Day</t>
  </si>
  <si>
    <t>1)   These values assume an average walking trip speed of 3.2 miles per hour. For the mile-based benefits, the estimated value per user should be capped at 0.86 miles, the average length of a walking trip in the 2017 National Household Travel Survey, unless the applicant has specific documentation suggesting longer trips or that a trip shorter than 0.86 miles is not feasible on the facility in question. In other words, applicants should not assume all pedestrians travel the full distance of a proposed facility if the facility is longer than 0.86 miles without a clear justification for doing so.</t>
  </si>
  <si>
    <t>2)   Value for sidewalk width expansion applicable for sidewalks up to approximately 31 feet, benefits for expansions beyond this width should be described qualitatively.</t>
  </si>
  <si>
    <t>Table A-9: Cycling Facility Improvement Revealed Preference Values</t>
  </si>
  <si>
    <t>Facility Type</t>
  </si>
  <si>
    <r>
      <t>Recommended Value per Cycling Mile (2022 $)</t>
    </r>
    <r>
      <rPr>
        <vertAlign val="superscript"/>
        <sz val="11"/>
        <color theme="0"/>
        <rFont val="Times New Roman"/>
        <family val="1"/>
      </rPr>
      <t>1</t>
    </r>
  </si>
  <si>
    <t>Cycling Path with At-Grade Crossings</t>
  </si>
  <si>
    <r>
      <t>Cycling Path with no At-Grade Crossings</t>
    </r>
    <r>
      <rPr>
        <vertAlign val="superscript"/>
        <sz val="11"/>
        <color rgb="FF1F497D"/>
        <rFont val="Times New Roman"/>
        <family val="1"/>
      </rPr>
      <t>2</t>
    </r>
  </si>
  <si>
    <t>Dedicated Cycling Lane</t>
  </si>
  <si>
    <t>Cycling Boulevard/“Sharrow”</t>
  </si>
  <si>
    <t>Separated Cycle Track</t>
  </si>
  <si>
    <t>1) Values should only be applied over sections for which a comparable parallel facility is not available, and only applies to miles cycled on the project facility. These values assume an average cycling trip speed of 9.8 miles per hour or, in the case of off-street paths with no at-grade crossings, a free-flow cycling speed of 12.1 miles per hour. The estimated value per cyclist should be capped at 2.38 miles, the average length of a cycling trip in the 2017 National Household Travel Survey, unless the applicant has specific documentation suggesting longer trips or that a trip shorter than 2.38 miles is not feasible on the facility in question. In other words, applicants should not assume all cyclists travel the full distance of a proposed facility if the facility is longer than 2.38 miles without a clear justification for doing so.</t>
  </si>
  <si>
    <t>2) The value for a cycling path with no at-grade intersections is higher due to an assumption of higher average speed of 12.1 miles per hour, resulting in less time on the facility, which lowers journey quality benefits but increases travel time savings.</t>
  </si>
  <si>
    <t>Table A-10: Transit Facility Amenity Revealed and Stated Preference Values</t>
  </si>
  <si>
    <t>Attribute Type</t>
  </si>
  <si>
    <t>Recommended Value per User Trip (2022 $)</t>
  </si>
  <si>
    <t>Bus Stop</t>
  </si>
  <si>
    <t>Light Rail /Streetcar Stop</t>
  </si>
  <si>
    <t>Rail Station</t>
  </si>
  <si>
    <t>Clocks</t>
  </si>
  <si>
    <t>Electronic Real-Time Information Displays</t>
  </si>
  <si>
    <t>Information /Emergency Button</t>
  </si>
  <si>
    <t>PA System</t>
  </si>
  <si>
    <r>
      <t>Platform/Stop Seating Availability</t>
    </r>
    <r>
      <rPr>
        <vertAlign val="superscript"/>
        <sz val="11"/>
        <color rgb="FF1F497D"/>
        <rFont val="Times New Roman"/>
        <family val="1"/>
      </rPr>
      <t>1</t>
    </r>
  </si>
  <si>
    <r>
      <t>Platform/Stop Weather Protection</t>
    </r>
    <r>
      <rPr>
        <vertAlign val="superscript"/>
        <sz val="11"/>
        <color rgb="FF1F497D"/>
        <rFont val="Times New Roman"/>
        <family val="1"/>
      </rPr>
      <t>1</t>
    </r>
  </si>
  <si>
    <t>Restroom Availability</t>
  </si>
  <si>
    <t>Retail/Food Outlet Availability</t>
  </si>
  <si>
    <t>Staff Availability</t>
  </si>
  <si>
    <t>Step-Free Access to Station/Stop</t>
  </si>
  <si>
    <t>Step-Free Access to Vehicle</t>
  </si>
  <si>
    <t>Surveillance Cameras</t>
  </si>
  <si>
    <r>
      <t>Temperature Controlled Environment</t>
    </r>
    <r>
      <rPr>
        <vertAlign val="superscript"/>
        <sz val="11"/>
        <color rgb="FF1F497D"/>
        <rFont val="Times New Roman"/>
        <family val="1"/>
      </rPr>
      <t>1</t>
    </r>
  </si>
  <si>
    <t>Ticket Machines</t>
  </si>
  <si>
    <t>Timetables</t>
  </si>
  <si>
    <t>Bike Facilities</t>
  </si>
  <si>
    <t>Car Access Facilities</t>
  </si>
  <si>
    <t>Elevator</t>
  </si>
  <si>
    <t>Escalators</t>
  </si>
  <si>
    <t>On-Site Ticket Office</t>
  </si>
  <si>
    <t>Taxi Pickup/Dropoff</t>
  </si>
  <si>
    <r>
      <t>Waiting Room</t>
    </r>
    <r>
      <rPr>
        <vertAlign val="superscript"/>
        <sz val="11"/>
        <color rgb="FF1F497D"/>
        <rFont val="Times New Roman"/>
        <family val="1"/>
      </rPr>
      <t>1</t>
    </r>
  </si>
  <si>
    <t>1)  Note that seating availability and weather protection refer to seats, canopies, or wind shelters on the platforms themselves, whereas temperature-controlled environment refers to an indoor facility with heating and air conditioning availability. A waiting room refers to a designated indoor environment with seating availability, separate from platform seating, which may or may not be temperature controlled.</t>
  </si>
  <si>
    <t>Table A-11: Transit Vehicle Amenity Values</t>
  </si>
  <si>
    <t>Bus</t>
  </si>
  <si>
    <t>Light Rail /Streetcar</t>
  </si>
  <si>
    <t>Rail</t>
  </si>
  <si>
    <t>Handrails</t>
  </si>
  <si>
    <t>Luggage Storage</t>
  </si>
  <si>
    <t>Temperature Control</t>
  </si>
  <si>
    <t>Wheelchair Space</t>
  </si>
  <si>
    <t>Food Service Availability</t>
  </si>
  <si>
    <t>Table A-12: Transit Mode Ride and Boarding Quality Revealed Preference Values</t>
  </si>
  <si>
    <t>Transit Mode</t>
  </si>
  <si>
    <r>
      <t>Boarding Quality Benefit (Per Boarding) (2022 $)</t>
    </r>
    <r>
      <rPr>
        <vertAlign val="superscript"/>
        <sz val="11"/>
        <color theme="0"/>
        <rFont val="Calibri"/>
        <family val="2"/>
        <scheme val="minor"/>
      </rPr>
      <t>1</t>
    </r>
  </si>
  <si>
    <r>
      <t>Vehicle Ride Quality Benefit (Per Passenger Hour) (2022 $)</t>
    </r>
    <r>
      <rPr>
        <vertAlign val="superscript"/>
        <sz val="11"/>
        <color theme="0"/>
        <rFont val="Calibri"/>
        <family val="2"/>
        <scheme val="minor"/>
      </rPr>
      <t>1</t>
    </r>
  </si>
  <si>
    <r>
      <t>Low-Intensive BRT</t>
    </r>
    <r>
      <rPr>
        <vertAlign val="superscript"/>
        <sz val="11"/>
        <color theme="1"/>
        <rFont val="Calibri"/>
        <family val="2"/>
        <scheme val="minor"/>
      </rPr>
      <t>2</t>
    </r>
  </si>
  <si>
    <r>
      <t>Medium-Intensive BRT</t>
    </r>
    <r>
      <rPr>
        <vertAlign val="superscript"/>
        <sz val="11"/>
        <color theme="1"/>
        <rFont val="Calibri"/>
        <family val="2"/>
        <scheme val="minor"/>
      </rPr>
      <t>2</t>
    </r>
  </si>
  <si>
    <r>
      <t>High-Intensive BRT</t>
    </r>
    <r>
      <rPr>
        <vertAlign val="superscript"/>
        <sz val="11"/>
        <color theme="1"/>
        <rFont val="Calibri"/>
        <family val="2"/>
        <scheme val="minor"/>
      </rPr>
      <t>2,3</t>
    </r>
  </si>
  <si>
    <t>Streetcar or On-Street Light Rail Transit</t>
  </si>
  <si>
    <t>Off-Street Light Rail Transit</t>
  </si>
  <si>
    <t>Heavy Rail</t>
  </si>
  <si>
    <t>Commuter Rail</t>
  </si>
  <si>
    <r>
      <t>Ferry</t>
    </r>
    <r>
      <rPr>
        <vertAlign val="superscript"/>
        <sz val="11"/>
        <color theme="1"/>
        <rFont val="Calibri"/>
        <family val="2"/>
        <scheme val="minor"/>
      </rPr>
      <t>3</t>
    </r>
  </si>
  <si>
    <t>1) Values applicable when base case is transit use of standard on-street bus, the reference case used to create these values. When comparing other types of modal shift, the differences between the relevant modal values above should be used.</t>
  </si>
  <si>
    <t>2) Low-intensive BRT would include special service branding, low floor vehicles, at least 50 percent of route in dedicated lanes and potentially shared turns and the remainder in mixed-traffic, some signal priority, level boarding, off-board fare collection, and visually distinct stations. Medium-intensive BRT would include features of Low-intensive BRT but have 100 percent of the route in dedicated lanes, traffic signal priority throughout the corridor, and median-running service or right-turn prohibitions. High-intensive BRT would have a completely sealed right-of-way with no traffic interference and traffic signal preemption, akin to a “rubber-tired railroad.”</t>
  </si>
  <si>
    <t>3) The Capital Investment Grant program has to date not completed a before-and-after study of ridership on a ferry project or a high-intensive BRT as described above, and thus does not have a calibrated estimate for the fixedguideway setting for those modes. Thus, these values represent the current best estimates, considering average station and ride quality relative to other transit modes.</t>
  </si>
  <si>
    <t>Table A-13: Mortality Reduction Benefits of Induced Active Transportation Values</t>
  </si>
  <si>
    <t>Mode</t>
  </si>
  <si>
    <r>
      <t>Applicable Age Range</t>
    </r>
    <r>
      <rPr>
        <vertAlign val="superscript"/>
        <sz val="11"/>
        <color theme="0"/>
        <rFont val="Calibri"/>
        <family val="2"/>
        <scheme val="minor"/>
      </rPr>
      <t>3</t>
    </r>
  </si>
  <si>
    <r>
      <t>Recommended Value per Induced Trip (2022 $)</t>
    </r>
    <r>
      <rPr>
        <vertAlign val="superscript"/>
        <sz val="11"/>
        <color theme="0"/>
        <rFont val="Calibri"/>
        <family val="2"/>
        <scheme val="minor"/>
      </rPr>
      <t>4</t>
    </r>
  </si>
  <si>
    <r>
      <t>Walking</t>
    </r>
    <r>
      <rPr>
        <vertAlign val="superscript"/>
        <sz val="11"/>
        <color theme="1"/>
        <rFont val="Calibri"/>
        <family val="2"/>
        <scheme val="minor"/>
      </rPr>
      <t>1</t>
    </r>
  </si>
  <si>
    <t>Ages 20-74</t>
  </si>
  <si>
    <r>
      <t>Cycling</t>
    </r>
    <r>
      <rPr>
        <vertAlign val="superscript"/>
        <sz val="11"/>
        <color theme="1"/>
        <rFont val="Calibri"/>
        <family val="2"/>
        <scheme val="minor"/>
      </rPr>
      <t>2</t>
    </r>
  </si>
  <si>
    <t>Ages 20-64</t>
  </si>
  <si>
    <t xml:space="preserve">1)   Based on an assumed average walking speed of 3.2 miles per hour, an assumed average age of the relevant age range (20-74 years) of 45, a corresponding baseline mortality risk of 267.1 per 100,000, an annual risk reduction of 8.6 percent per daily mile walked, and an average walking trip distance of 0.86 miles. </t>
  </si>
  <si>
    <t>2)   Based on an assumed average cycling speed of 9.8 miles per hour, an assumed average age of the relevant age range (20-64 years) of 42, a corresponding baseline mortality risk of 217.9 per 100,000, an annual risk reduction of 4.3 percent per daily mile cycled, and an average cycling trip distance of 2.38 miles.</t>
  </si>
  <si>
    <t>3)   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t>
  </si>
  <si>
    <t xml:space="preserve">4)   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t>
  </si>
  <si>
    <t>Table A-14: External Highway Use Costs</t>
  </si>
  <si>
    <t>Vehicle Type and Location</t>
  </si>
  <si>
    <r>
      <t>Recommended Value of Cost per Vehicle Mile Traveled (2022 $)</t>
    </r>
    <r>
      <rPr>
        <vertAlign val="superscript"/>
        <sz val="11"/>
        <color theme="0"/>
        <rFont val="Times New Roman"/>
        <family val="1"/>
      </rPr>
      <t>1</t>
    </r>
  </si>
  <si>
    <t>Congestion</t>
  </si>
  <si>
    <t>Noise</t>
  </si>
  <si>
    <t>Safety Cost</t>
  </si>
  <si>
    <r>
      <t>Non-CO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</si>
  <si>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</si>
  <si>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t>Light-Duty Vehicles - Urban</t>
  </si>
  <si>
    <t>Light-Duty Vehicles - Rural</t>
  </si>
  <si>
    <t>Light-Duty Vehicles – All Locations</t>
  </si>
  <si>
    <t>Buses and Trucks - Urban</t>
  </si>
  <si>
    <t>Buses and Trucks - Rural</t>
  </si>
  <si>
    <t>Buses and Trucks – All Locations</t>
  </si>
  <si>
    <t>All Vehicles - Urban</t>
  </si>
  <si>
    <t>All Vehicles - Rural</t>
  </si>
  <si>
    <t>All Vehicles – All Locations</t>
  </si>
  <si>
    <t>1)   Congestion costs updated from the 1997 Highway Cost Allocation Study to reflect increased traffic volumes, changes in vehicle occupancy, and increases in the value of time per person-hour since that time. Both congestion and noise costs are also adjusted from 1994 dollars to 2022 dollars using the GDP deflator.</t>
  </si>
  <si>
    <t>2)   Emission rates are based on estimates from EPA’s MOVES Model. The monetization applies the 2035-year emission value to approximate increasing emission damage costs over time. Non-CO2 emission damages should be discounted at 3.1 percent, while CO2 emission damages should be discounted at 2.0 percent.</t>
  </si>
  <si>
    <t>This is an optional sheet to aid in displaying user volumes, note that it does not automatically link to any other sheet and is provided for convenience and organizational purposes.</t>
  </si>
  <si>
    <t>Users can use whichever units are of interest to their application (for example: number of users, average annual daily traffic, person miles traveled, vehicle miles traveled).</t>
  </si>
  <si>
    <t xml:space="preserve">Users are free to use only the necessary columns for their application and/or to add additional columns as necessary. </t>
  </si>
  <si>
    <t>If you do not wish to use this sheet, simply leave the values blank and move on to the next sheet.</t>
  </si>
  <si>
    <t>Table 1. Volumes by Mode</t>
  </si>
  <si>
    <t>Port of Muskogee</t>
  </si>
  <si>
    <t>Tulsa Port of Catoosa</t>
  </si>
  <si>
    <t>Waterway Ton-Miles</t>
  </si>
  <si>
    <t>Ton-Miles Diverted to Rail</t>
  </si>
  <si>
    <t>Ton-Miles Diverted to Truck</t>
  </si>
  <si>
    <t>Truck Miles Diverted</t>
  </si>
  <si>
    <t>Workspace - Applicants may create new sheets for more space</t>
  </si>
  <si>
    <t>Year</t>
  </si>
  <si>
    <t>Tonnage</t>
  </si>
  <si>
    <t>Build</t>
  </si>
  <si>
    <t>No-Build</t>
  </si>
  <si>
    <t>SUMMARY TABLE</t>
  </si>
  <si>
    <t>Tonnage Information Port of Muskogee</t>
  </si>
  <si>
    <t>Liquid Tonnage Information Port of Catoosa</t>
  </si>
  <si>
    <t>Tonnage Information Port of Catoosa</t>
  </si>
  <si>
    <t>Commodity</t>
  </si>
  <si>
    <t>Five-year Average (Tons)</t>
  </si>
  <si>
    <t>2018 Tonnages</t>
  </si>
  <si>
    <t>2019 Tonnages</t>
  </si>
  <si>
    <t>2020 Tonnages</t>
  </si>
  <si>
    <t>2021 Tonnages</t>
  </si>
  <si>
    <t>2022 Tonnages</t>
  </si>
  <si>
    <t>2023 Tonnage</t>
  </si>
  <si>
    <t>2024 Tonnage</t>
  </si>
  <si>
    <t>2025 Tonnage</t>
  </si>
  <si>
    <t>2026 Tonnage</t>
  </si>
  <si>
    <t>2027 Tonnage</t>
  </si>
  <si>
    <t>2028 Tonnage</t>
  </si>
  <si>
    <t>Eleven-year Average (Tons)</t>
  </si>
  <si>
    <t>Five-year Average (Ton-Miles)</t>
  </si>
  <si>
    <t>Asphalt</t>
  </si>
  <si>
    <t>Minerals/Building Materials</t>
  </si>
  <si>
    <t>Inbound Tonnage</t>
  </si>
  <si>
    <t>% Ton</t>
  </si>
  <si>
    <t>Tons</t>
  </si>
  <si>
    <t>Ton-Miles</t>
  </si>
  <si>
    <t xml:space="preserve">Argentine Coke </t>
  </si>
  <si>
    <t>Coke &amp; Coal</t>
  </si>
  <si>
    <t>Low Water Warf - Misc.</t>
  </si>
  <si>
    <t>Chemicals (Other)</t>
  </si>
  <si>
    <t>Barite</t>
  </si>
  <si>
    <t>Gavilon Fert - Fertilizer</t>
  </si>
  <si>
    <t>Fertilizer</t>
  </si>
  <si>
    <t>Beams</t>
  </si>
  <si>
    <t>Iron/Steel</t>
  </si>
  <si>
    <t>Gavilon Grain (East) - Fertilizer</t>
  </si>
  <si>
    <t>Calcine Coke</t>
  </si>
  <si>
    <t xml:space="preserve">Benntag SW - Caustic Soda </t>
  </si>
  <si>
    <t>Chemour Coke</t>
  </si>
  <si>
    <t>Westway - Liquif Fertilizer</t>
  </si>
  <si>
    <t>Clay</t>
  </si>
  <si>
    <t>SemMaterials - Refined Petroleum</t>
  </si>
  <si>
    <t>Petroleum</t>
  </si>
  <si>
    <t>Coal</t>
  </si>
  <si>
    <t>Westway Trading - Caustic Soda</t>
  </si>
  <si>
    <t>DFP</t>
  </si>
  <si>
    <t>Safety Kleen - Misc.</t>
  </si>
  <si>
    <t>Feldspar</t>
  </si>
  <si>
    <t>Westway - Calcium Chloride</t>
  </si>
  <si>
    <t>Outbound Tonnage</t>
  </si>
  <si>
    <t>Fly Ash</t>
  </si>
  <si>
    <t>Molasses</t>
  </si>
  <si>
    <t>Food/Farm Products</t>
  </si>
  <si>
    <t>Terra Nitrogen - Ammonia</t>
  </si>
  <si>
    <t>Nepheline Syenite</t>
  </si>
  <si>
    <t>Terra Nitrogen - Liq. Fert.</t>
  </si>
  <si>
    <t>Pipe</t>
  </si>
  <si>
    <t>Safety Kleen/BKEP - Misc.</t>
  </si>
  <si>
    <t>Potash</t>
  </si>
  <si>
    <t>Safety Kleen/BKEP/Petro Source - Ref. Petro</t>
  </si>
  <si>
    <t>Rebar</t>
  </si>
  <si>
    <t>Petro Source/Safety Kleen - UnRef. Petro Crude</t>
  </si>
  <si>
    <t>Scrap Steel</t>
  </si>
  <si>
    <t>Total Tonnage</t>
  </si>
  <si>
    <t>Steel Coils</t>
  </si>
  <si>
    <t>Steel Plate</t>
  </si>
  <si>
    <t>Sugar</t>
  </si>
  <si>
    <t>Soybeans</t>
  </si>
  <si>
    <t>Number of tons transported per truck (Truck capacity)</t>
  </si>
  <si>
    <t>Wood Pulp</t>
  </si>
  <si>
    <t>Wheat</t>
  </si>
  <si>
    <t>Wire Rod Coils</t>
  </si>
  <si>
    <t>Zircon Sand</t>
  </si>
  <si>
    <t>Source: ODOT: Port of Muskogee</t>
  </si>
  <si>
    <t>Assumed Annual Increase in Tonnage</t>
  </si>
  <si>
    <t>https://www.muskogeeport.com/reports/</t>
  </si>
  <si>
    <t>Moorings End of Life</t>
  </si>
  <si>
    <t>Number</t>
  </si>
  <si>
    <t>End of Life</t>
  </si>
  <si>
    <t>Capacity Reduction</t>
  </si>
  <si>
    <t>Waterway Ton Diversion Percentages</t>
  </si>
  <si>
    <t>Oklahoma River Miles</t>
  </si>
  <si>
    <t>Mile Marker</t>
  </si>
  <si>
    <t>Catoosa Liquid Dolphins</t>
  </si>
  <si>
    <t>Percent Rail</t>
  </si>
  <si>
    <t>Oklahoma State Border</t>
  </si>
  <si>
    <t>Muskogee Dolphin Line</t>
  </si>
  <si>
    <t>Percent Truck</t>
  </si>
  <si>
    <t>Muskogee</t>
  </si>
  <si>
    <t>Source: Infrastructure Reports Conducted at TPOC in 2019 and Port Muskogee in 2021</t>
  </si>
  <si>
    <t>Percent Shipped to Alternate Port</t>
  </si>
  <si>
    <t>Catoosa</t>
  </si>
  <si>
    <t>Diversion estimate from Port Directors.</t>
  </si>
  <si>
    <t>OK Average River Miles</t>
  </si>
  <si>
    <t>Average River Miles</t>
  </si>
  <si>
    <r>
      <rPr>
        <b/>
        <sz val="11"/>
        <color theme="1"/>
        <rFont val="Calibri"/>
        <family val="2"/>
        <scheme val="minor"/>
      </rPr>
      <t>Assumption:</t>
    </r>
    <r>
      <rPr>
        <sz val="11"/>
        <color theme="1"/>
        <rFont val="Calibri"/>
        <family val="2"/>
        <scheme val="minor"/>
      </rPr>
      <t xml:space="preserve"> In the No-Build, Port Muskogee loses 30% capacity and the Tulsa Port of Catoosa loses 100% of liquid capacity. </t>
    </r>
  </si>
  <si>
    <t>https://oklahoma.gov/content/dam/ok/en/odot/documents/waterway/pdfs/ww-oklahoma-ports.pdf</t>
  </si>
  <si>
    <t>Diversion Routes</t>
  </si>
  <si>
    <t>Start</t>
  </si>
  <si>
    <t>End</t>
  </si>
  <si>
    <t>Rail Provider</t>
  </si>
  <si>
    <t>Distance (miles)</t>
  </si>
  <si>
    <t>Rail (Catoosa)</t>
  </si>
  <si>
    <t>Little Rock</t>
  </si>
  <si>
    <t>Clairmore</t>
  </si>
  <si>
    <t>BNSF</t>
  </si>
  <si>
    <t>Estimated Route Distance</t>
  </si>
  <si>
    <t>Rail (Muskogee)</t>
  </si>
  <si>
    <t>UP</t>
  </si>
  <si>
    <t>Truck (Catoosa)</t>
  </si>
  <si>
    <t>Google Maps Distance</t>
  </si>
  <si>
    <t>Truck (Muskogee)</t>
  </si>
  <si>
    <t>Diversion is from Mississippi to Muskogee or Clairmore, to be conservative Little Rock is used.</t>
  </si>
  <si>
    <t xml:space="preserve">In this "Capital Costs" sheet,  values should be entered as year-of-expenditure dollars. The template will automatically apply discounting to all costs and benefits for you. </t>
  </si>
  <si>
    <t>Annual Inflation Rate Used to Convert Constant Dollars to Year-of-Expenditure Dollars</t>
  </si>
  <si>
    <t>Previously Incurred Costs (in 2022 $)</t>
  </si>
  <si>
    <t>Table 1. Capital Costs</t>
  </si>
  <si>
    <t>Capital Cost in Year-of-Expenditure Dollars</t>
  </si>
  <si>
    <t>Cost in Constant Dollars (2022 $)</t>
  </si>
  <si>
    <t>20 Year Mooring Modernization Costs</t>
  </si>
  <si>
    <t>Barge Safety and Efficiency Improvement Project</t>
  </si>
  <si>
    <t>Percent Project Cost Paid</t>
  </si>
  <si>
    <t>Project Cost</t>
  </si>
  <si>
    <t>Item</t>
  </si>
  <si>
    <t>Quantity</t>
  </si>
  <si>
    <t>Unit Cost</t>
  </si>
  <si>
    <t>Total Cost</t>
  </si>
  <si>
    <t>Site &amp; Environmental Permitting </t>
  </si>
  <si>
    <t> $440,000</t>
  </si>
  <si>
    <t>Engineering Services During Construction </t>
  </si>
  <si>
    <t> $759,000.00</t>
  </si>
  <si>
    <t> $759,000 </t>
  </si>
  <si>
    <t>Mobilization &amp; Demobilization</t>
  </si>
  <si>
    <t>Excavation Overburden</t>
  </si>
  <si>
    <t>290 cy</t>
  </si>
  <si>
    <t>Total</t>
  </si>
  <si>
    <t xml:space="preserve">Rock Excavation </t>
  </si>
  <si>
    <t>520 ft.</t>
  </si>
  <si>
    <t>Tremie Concrete at Rock Embedment</t>
  </si>
  <si>
    <t>709 cy</t>
  </si>
  <si>
    <t>141,809 lb.</t>
  </si>
  <si>
    <t>Mooring Piles</t>
  </si>
  <si>
    <t>Mooring Pile Coating</t>
  </si>
  <si>
    <t>510,564 sf.</t>
  </si>
  <si>
    <t>Mooring Pile Sleeves (2)</t>
  </si>
  <si>
    <t>205,851 lb.</t>
  </si>
  <si>
    <t>Mooring Pile Delivery</t>
  </si>
  <si>
    <t>Mooring Rails</t>
  </si>
  <si>
    <t>49,984 lb.</t>
  </si>
  <si>
    <t>Fenders</t>
  </si>
  <si>
    <t>Turbidity Curtain</t>
  </si>
  <si>
    <t>1,250 lf.</t>
  </si>
  <si>
    <t>Project Design Costs (7%)</t>
  </si>
  <si>
    <t>Contingency (30%)</t>
  </si>
  <si>
    <t> $4,417,210.00</t>
  </si>
  <si>
    <t>Total Project Cost </t>
  </si>
  <si>
    <t>Operations and Maintenance Costs</t>
  </si>
  <si>
    <t xml:space="preserve">All values entered into input cells in this sheet should be entered as undiscounted 2022 dollar values. The template will automatically apply discounting to all costs and benefits for you. </t>
  </si>
  <si>
    <t>Applicants should use this sheet for general operations and maintenance, as well as any recapitalization costs that will be needed for project components over the course of the analysis period.</t>
  </si>
  <si>
    <t>Table 1. Operations and Maintenance</t>
  </si>
  <si>
    <t>No Build Operations and Maintenance Costs</t>
  </si>
  <si>
    <t>Build Operations and Maintenance Costs</t>
  </si>
  <si>
    <t>Net Change in Operations and Maintenance Costs</t>
  </si>
  <si>
    <t>No Build Scenario</t>
  </si>
  <si>
    <t>Build Scenario</t>
  </si>
  <si>
    <t>Infrastructure Condition</t>
  </si>
  <si>
    <t>Mooring O&amp;M</t>
  </si>
  <si>
    <t>Poor</t>
  </si>
  <si>
    <t>Under Construction</t>
  </si>
  <si>
    <t>Not operational</t>
  </si>
  <si>
    <t>Good</t>
  </si>
  <si>
    <t>Safety</t>
  </si>
  <si>
    <t>Note that not all projects will have benefits in all categories. In such cases, simply leave the input values in that sheet as zeros and move to the next sheet.</t>
  </si>
  <si>
    <t>Table 1. Recommended Monetization Values</t>
  </si>
  <si>
    <t>Table 2. Safety</t>
  </si>
  <si>
    <t>No Build Safety Costs</t>
  </si>
  <si>
    <t>Build Safety Costs</t>
  </si>
  <si>
    <t>Safety Benefits</t>
  </si>
  <si>
    <t>NO-BUILD</t>
  </si>
  <si>
    <t>BUILD</t>
  </si>
  <si>
    <t>Rail Fatalities</t>
  </si>
  <si>
    <t>Rail Injuries</t>
  </si>
  <si>
    <t>Truck Safety</t>
  </si>
  <si>
    <t>Waterway Fatalities</t>
  </si>
  <si>
    <t>Waterway Injuries</t>
  </si>
  <si>
    <t>Inland Waterways</t>
  </si>
  <si>
    <t>Freight Barge</t>
  </si>
  <si>
    <t>Tank Barge</t>
  </si>
  <si>
    <t>Tug / Towboat</t>
  </si>
  <si>
    <t>Freight Barge + Tank Barge + Tug / Towboat</t>
  </si>
  <si>
    <t>Safety Rates per ton-mile</t>
  </si>
  <si>
    <t>Freight Rail</t>
  </si>
  <si>
    <t>Internal ton-miles, Domestic Water Freight</t>
  </si>
  <si>
    <t>Fatalities</t>
  </si>
  <si>
    <t>Injuries</t>
  </si>
  <si>
    <t>Class I, Revenue ton-miles of freight</t>
  </si>
  <si>
    <t>U</t>
  </si>
  <si>
    <t>Average</t>
  </si>
  <si>
    <t>https://railroads.dot.gov/safety-data/accident-and-incident-reporting/accidentincident-dashboards-data-downloads</t>
  </si>
  <si>
    <t>Accident/Incident Data</t>
  </si>
  <si>
    <t xml:space="preserve">https://www.bts.gov/content/us-ton-miles-freight </t>
  </si>
  <si>
    <t>Table 1-50: Railroad</t>
  </si>
  <si>
    <t>Conservative Value, Assume Highest Occurance</t>
  </si>
  <si>
    <t>https://www.bts.gov/topics/national-transportation-statistics</t>
  </si>
  <si>
    <t>Appendix D, Water Transport Profile</t>
  </si>
  <si>
    <t>Hourly Value (2022 $)</t>
  </si>
  <si>
    <t>Personal</t>
  </si>
  <si>
    <t>Business</t>
  </si>
  <si>
    <t>All Purpose</t>
  </si>
  <si>
    <t>Walking, Cycling, Waiting, Standing, and Transfer Time</t>
  </si>
  <si>
    <t>Commercial Vehicle Operators</t>
  </si>
  <si>
    <t>Table 2. Travel Time Savings</t>
  </si>
  <si>
    <t>No Build Travel Time Costs</t>
  </si>
  <si>
    <t>Build Travel Time Costs</t>
  </si>
  <si>
    <t>Travel Time Benefits</t>
  </si>
  <si>
    <t>Vehicle Operating Costs</t>
  </si>
  <si>
    <t>Light Duty Vehicles</t>
  </si>
  <si>
    <t>Commercial Trucks</t>
  </si>
  <si>
    <t>Operating Costs</t>
  </si>
  <si>
    <t>Table 2. Vehicle Operating Costs</t>
  </si>
  <si>
    <t>No Build Vehicle Operating Costs</t>
  </si>
  <si>
    <t>Build Vehicle Operating Costs</t>
  </si>
  <si>
    <t xml:space="preserve">Unique to this sheet, applicants may either input monetized emissions in 2022 dollars OR enter the direct emission amounts in the table below, in which case they must be entered in the form of METRIC TONS. A metric ton is equal to 1.1023 short tons. </t>
  </si>
  <si>
    <t>To avoid double-counting of benefits, applicants should not enter the same emission data as BOTH a dollar value and as units of emissions.</t>
  </si>
  <si>
    <t>Unique to this sheet, the template will automatically apply the correct monetization values for units of emissions.</t>
  </si>
  <si>
    <t>Whether amounts are entered in dollar form OR direct units of emissions, the template will automatically apply discounting to all costs and benefits for you.</t>
  </si>
  <si>
    <t>Table 1. Emission Costs per VMT and Train-Hour</t>
  </si>
  <si>
    <r>
      <t>Non-CO</t>
    </r>
    <r>
      <rPr>
        <vertAlign val="subscript"/>
        <sz val="11"/>
        <color theme="1"/>
        <rFont val="Calibri"/>
        <family val="2"/>
        <scheme val="minor"/>
      </rPr>
      <t>2</t>
    </r>
    <r>
      <rPr>
        <sz val="11"/>
        <color theme="1"/>
        <rFont val="Calibri"/>
        <family val="2"/>
        <scheme val="minor"/>
      </rPr>
      <t xml:space="preserve"> Emissions</t>
    </r>
  </si>
  <si>
    <r>
      <t>CO</t>
    </r>
    <r>
      <rPr>
        <vertAlign val="subscript"/>
        <sz val="11"/>
        <color theme="1"/>
        <rFont val="Calibri"/>
        <family val="2"/>
        <scheme val="minor"/>
      </rPr>
      <t>2</t>
    </r>
    <r>
      <rPr>
        <sz val="11"/>
        <color theme="1"/>
        <rFont val="Calibri"/>
        <family val="2"/>
        <scheme val="minor"/>
      </rPr>
      <t xml:space="preserve"> Emissions</t>
    </r>
  </si>
  <si>
    <t>Table 2. Emissions</t>
  </si>
  <si>
    <t>Truck and rail emissions are estimated using the recommended costs above.</t>
  </si>
  <si>
    <t xml:space="preserve">Barge emissions for both the Build and No-Build scenarios are estimated using metric tons. </t>
  </si>
  <si>
    <r>
      <t>No Build Non-CO</t>
    </r>
    <r>
      <rPr>
        <vertAlign val="subscript"/>
        <sz val="11"/>
        <color theme="0"/>
        <rFont val="Calibri"/>
        <family val="2"/>
        <scheme val="minor"/>
      </rPr>
      <t>2</t>
    </r>
    <r>
      <rPr>
        <sz val="11"/>
        <color theme="0"/>
        <rFont val="Calibri"/>
        <family val="2"/>
        <scheme val="minor"/>
      </rPr>
      <t xml:space="preserve"> Emission Costs ($)</t>
    </r>
  </si>
  <si>
    <r>
      <t>Build Non-CO</t>
    </r>
    <r>
      <rPr>
        <vertAlign val="subscript"/>
        <sz val="11"/>
        <color theme="0"/>
        <rFont val="Calibri"/>
        <family val="2"/>
        <scheme val="minor"/>
      </rPr>
      <t>2</t>
    </r>
    <r>
      <rPr>
        <sz val="11"/>
        <color theme="0"/>
        <rFont val="Calibri"/>
        <family val="2"/>
        <scheme val="minor"/>
      </rPr>
      <t xml:space="preserve"> Emission Costs ($)</t>
    </r>
  </si>
  <si>
    <r>
      <t>No Build CO</t>
    </r>
    <r>
      <rPr>
        <vertAlign val="subscript"/>
        <sz val="11"/>
        <color theme="0"/>
        <rFont val="Calibri"/>
        <family val="2"/>
        <scheme val="minor"/>
      </rPr>
      <t>2</t>
    </r>
    <r>
      <rPr>
        <sz val="11"/>
        <color theme="0"/>
        <rFont val="Calibri"/>
        <family val="2"/>
        <scheme val="minor"/>
      </rPr>
      <t xml:space="preserve"> Emission Costs ($)</t>
    </r>
  </si>
  <si>
    <r>
      <t>Build CO</t>
    </r>
    <r>
      <rPr>
        <vertAlign val="subscript"/>
        <sz val="11"/>
        <color theme="0"/>
        <rFont val="Calibri"/>
        <family val="2"/>
        <scheme val="minor"/>
      </rPr>
      <t>2</t>
    </r>
    <r>
      <rPr>
        <sz val="11"/>
        <color theme="0"/>
        <rFont val="Calibri"/>
        <family val="2"/>
        <scheme val="minor"/>
      </rPr>
      <t xml:space="preserve"> Emission Costs ($)</t>
    </r>
  </si>
  <si>
    <r>
      <t>No Build NO</t>
    </r>
    <r>
      <rPr>
        <vertAlign val="subscript"/>
        <sz val="11"/>
        <color theme="0"/>
        <rFont val="Calibri"/>
        <family val="2"/>
        <scheme val="minor"/>
      </rPr>
      <t>x</t>
    </r>
    <r>
      <rPr>
        <sz val="11"/>
        <color theme="0"/>
        <rFont val="Calibri"/>
        <family val="2"/>
        <scheme val="minor"/>
      </rPr>
      <t xml:space="preserve"> (mt)</t>
    </r>
  </si>
  <si>
    <r>
      <t>Build NO</t>
    </r>
    <r>
      <rPr>
        <vertAlign val="subscript"/>
        <sz val="11"/>
        <color theme="0"/>
        <rFont val="Calibri"/>
        <family val="2"/>
        <scheme val="minor"/>
      </rPr>
      <t>x</t>
    </r>
    <r>
      <rPr>
        <sz val="11"/>
        <color theme="0"/>
        <rFont val="Calibri"/>
        <family val="2"/>
        <scheme val="minor"/>
      </rPr>
      <t xml:space="preserve"> (mt)</t>
    </r>
  </si>
  <si>
    <r>
      <t>No Build SO</t>
    </r>
    <r>
      <rPr>
        <vertAlign val="subscript"/>
        <sz val="11"/>
        <color theme="0"/>
        <rFont val="Calibri"/>
        <family val="2"/>
        <scheme val="minor"/>
      </rPr>
      <t>x</t>
    </r>
    <r>
      <rPr>
        <sz val="11"/>
        <color theme="0"/>
        <rFont val="Calibri"/>
        <family val="2"/>
        <scheme val="minor"/>
      </rPr>
      <t xml:space="preserve"> (mt)</t>
    </r>
  </si>
  <si>
    <r>
      <t>Build SO</t>
    </r>
    <r>
      <rPr>
        <vertAlign val="subscript"/>
        <sz val="11"/>
        <color theme="0"/>
        <rFont val="Calibri"/>
        <family val="2"/>
        <scheme val="minor"/>
      </rPr>
      <t>x</t>
    </r>
    <r>
      <rPr>
        <sz val="11"/>
        <color theme="0"/>
        <rFont val="Calibri"/>
        <family val="2"/>
        <scheme val="minor"/>
      </rPr>
      <t xml:space="preserve"> (mt)</t>
    </r>
  </si>
  <si>
    <r>
      <t>No Build PM</t>
    </r>
    <r>
      <rPr>
        <vertAlign val="subscript"/>
        <sz val="11"/>
        <color theme="0"/>
        <rFont val="Calibri"/>
        <family val="2"/>
        <scheme val="minor"/>
      </rPr>
      <t>2.5</t>
    </r>
    <r>
      <rPr>
        <sz val="11"/>
        <color theme="0"/>
        <rFont val="Calibri"/>
        <family val="2"/>
        <scheme val="minor"/>
      </rPr>
      <t xml:space="preserve"> (mt)</t>
    </r>
  </si>
  <si>
    <r>
      <t>Build PM</t>
    </r>
    <r>
      <rPr>
        <vertAlign val="subscript"/>
        <sz val="11"/>
        <color theme="0"/>
        <rFont val="Calibri"/>
        <family val="2"/>
        <scheme val="minor"/>
      </rPr>
      <t>2.5</t>
    </r>
    <r>
      <rPr>
        <sz val="11"/>
        <color theme="0"/>
        <rFont val="Calibri"/>
        <family val="2"/>
        <scheme val="minor"/>
      </rPr>
      <t xml:space="preserve"> (mt)</t>
    </r>
  </si>
  <si>
    <r>
      <t>No Build CO</t>
    </r>
    <r>
      <rPr>
        <vertAlign val="subscript"/>
        <sz val="11"/>
        <color theme="0"/>
        <rFont val="Calibri"/>
        <family val="2"/>
        <scheme val="minor"/>
      </rPr>
      <t>2</t>
    </r>
    <r>
      <rPr>
        <sz val="11"/>
        <color theme="0"/>
        <rFont val="Calibri"/>
        <family val="2"/>
        <scheme val="minor"/>
      </rPr>
      <t xml:space="preserve"> (mt)</t>
    </r>
  </si>
  <si>
    <r>
      <t>Build CO</t>
    </r>
    <r>
      <rPr>
        <vertAlign val="subscript"/>
        <sz val="11"/>
        <color theme="0"/>
        <rFont val="Calibri"/>
        <family val="2"/>
        <scheme val="minor"/>
      </rPr>
      <t>2</t>
    </r>
    <r>
      <rPr>
        <sz val="11"/>
        <color theme="0"/>
        <rFont val="Calibri"/>
        <family val="2"/>
        <scheme val="minor"/>
      </rPr>
      <t xml:space="preserve"> (mt)</t>
    </r>
  </si>
  <si>
    <r>
      <t>NO</t>
    </r>
    <r>
      <rPr>
        <vertAlign val="subscript"/>
        <sz val="11"/>
        <color theme="0"/>
        <rFont val="Calibri"/>
        <family val="2"/>
        <scheme val="minor"/>
      </rPr>
      <t>x</t>
    </r>
  </si>
  <si>
    <r>
      <t>SO</t>
    </r>
    <r>
      <rPr>
        <vertAlign val="subscript"/>
        <sz val="11"/>
        <color theme="0"/>
        <rFont val="Calibri"/>
        <family val="2"/>
        <scheme val="minor"/>
      </rPr>
      <t>x</t>
    </r>
  </si>
  <si>
    <r>
      <t>PM</t>
    </r>
    <r>
      <rPr>
        <vertAlign val="subscript"/>
        <sz val="11"/>
        <color theme="0"/>
        <rFont val="Calibri"/>
        <family val="2"/>
        <scheme val="minor"/>
      </rPr>
      <t>2.5</t>
    </r>
  </si>
  <si>
    <r>
      <t>CO</t>
    </r>
    <r>
      <rPr>
        <vertAlign val="subscript"/>
        <sz val="11"/>
        <color theme="0"/>
        <rFont val="Calibri"/>
        <family val="2"/>
        <scheme val="minor"/>
      </rPr>
      <t>2</t>
    </r>
  </si>
  <si>
    <r>
      <t>Non-CO</t>
    </r>
    <r>
      <rPr>
        <vertAlign val="subscript"/>
        <sz val="11"/>
        <color theme="0"/>
        <rFont val="Calibri"/>
        <family val="2"/>
        <scheme val="minor"/>
      </rPr>
      <t>2</t>
    </r>
    <r>
      <rPr>
        <sz val="11"/>
        <color theme="0"/>
        <rFont val="Calibri"/>
        <family val="2"/>
        <scheme val="minor"/>
      </rPr>
      <t xml:space="preserve"> Emission Reduction</t>
    </r>
  </si>
  <si>
    <r>
      <t>CO</t>
    </r>
    <r>
      <rPr>
        <vertAlign val="subscript"/>
        <sz val="11"/>
        <color theme="0"/>
        <rFont val="Calibri"/>
        <family val="2"/>
        <scheme val="minor"/>
      </rPr>
      <t>2</t>
    </r>
    <r>
      <rPr>
        <sz val="11"/>
        <color theme="0"/>
        <rFont val="Calibri"/>
        <family val="2"/>
        <scheme val="minor"/>
      </rPr>
      <t xml:space="preserve"> Emission Reduction</t>
    </r>
  </si>
  <si>
    <t>Rail Diversion Assumptions, per train</t>
  </si>
  <si>
    <t xml:space="preserve">Time Idling </t>
  </si>
  <si>
    <t>hours</t>
  </si>
  <si>
    <t>Assumes 30 minutes of switching for loading and unloading, as well as a 1 hour cumulative switching time for railyard stops</t>
  </si>
  <si>
    <t>Time Hauling - from Catoosa</t>
  </si>
  <si>
    <t>Assumes 25 mile/hour hauling speed</t>
  </si>
  <si>
    <t>Time Hauling - from Muskogee</t>
  </si>
  <si>
    <r>
      <t>Non-CO</t>
    </r>
    <r>
      <rPr>
        <vertAlign val="subscript"/>
        <sz val="11"/>
        <color theme="1"/>
        <rFont val="Calibri"/>
        <family val="2"/>
        <scheme val="minor"/>
      </rPr>
      <t>2</t>
    </r>
    <r>
      <rPr>
        <sz val="11"/>
        <color theme="1"/>
        <rFont val="Calibri"/>
        <family val="2"/>
        <scheme val="minor"/>
      </rPr>
      <t xml:space="preserve"> Idling Emissions Costs</t>
    </r>
  </si>
  <si>
    <t>$</t>
  </si>
  <si>
    <r>
      <t>Non-CO</t>
    </r>
    <r>
      <rPr>
        <vertAlign val="subscript"/>
        <sz val="11"/>
        <color theme="1"/>
        <rFont val="Calibri"/>
        <family val="2"/>
        <scheme val="minor"/>
      </rPr>
      <t>2</t>
    </r>
    <r>
      <rPr>
        <sz val="11"/>
        <color theme="1"/>
        <rFont val="Calibri"/>
        <family val="2"/>
        <scheme val="minor"/>
      </rPr>
      <t xml:space="preserve"> Hauling Emissions Costs</t>
    </r>
    <r>
      <rPr>
        <sz val="11"/>
        <color theme="1"/>
        <rFont val="Calibri"/>
        <family val="2"/>
        <scheme val="minor"/>
      </rPr>
      <t xml:space="preserve"> - Catoosa</t>
    </r>
  </si>
  <si>
    <r>
      <t>Non-CO</t>
    </r>
    <r>
      <rPr>
        <vertAlign val="subscript"/>
        <sz val="11"/>
        <color theme="1"/>
        <rFont val="Calibri"/>
        <family val="2"/>
        <scheme val="minor"/>
      </rPr>
      <t>2</t>
    </r>
    <r>
      <rPr>
        <sz val="11"/>
        <color theme="1"/>
        <rFont val="Calibri"/>
        <family val="2"/>
        <scheme val="minor"/>
      </rPr>
      <t xml:space="preserve"> Hauling Emissions Costs</t>
    </r>
    <r>
      <rPr>
        <sz val="11"/>
        <color theme="1"/>
        <rFont val="Calibri"/>
        <family val="2"/>
        <scheme val="minor"/>
      </rPr>
      <t xml:space="preserve"> - Muskogee</t>
    </r>
  </si>
  <si>
    <r>
      <t>Non-CO</t>
    </r>
    <r>
      <rPr>
        <b/>
        <vertAlign val="subscript"/>
        <sz val="11"/>
        <color theme="1"/>
        <rFont val="Calibri"/>
        <family val="2"/>
        <scheme val="minor"/>
      </rPr>
      <t>2</t>
    </r>
    <r>
      <rPr>
        <b/>
        <sz val="11"/>
        <color theme="1"/>
        <rFont val="Calibri"/>
        <family val="2"/>
        <scheme val="minor"/>
      </rPr>
      <t xml:space="preserve"> Emissions Costs - Catoosa</t>
    </r>
  </si>
  <si>
    <r>
      <t>Non-CO</t>
    </r>
    <r>
      <rPr>
        <b/>
        <vertAlign val="subscript"/>
        <sz val="11"/>
        <color theme="1"/>
        <rFont val="Calibri"/>
        <family val="2"/>
        <scheme val="minor"/>
      </rPr>
      <t>2</t>
    </r>
    <r>
      <rPr>
        <b/>
        <sz val="11"/>
        <color theme="1"/>
        <rFont val="Calibri"/>
        <family val="2"/>
        <scheme val="minor"/>
      </rPr>
      <t xml:space="preserve"> Emissions Costs - Muskogee</t>
    </r>
  </si>
  <si>
    <r>
      <t>CO</t>
    </r>
    <r>
      <rPr>
        <vertAlign val="subscript"/>
        <sz val="11"/>
        <color theme="1"/>
        <rFont val="Calibri"/>
        <family val="2"/>
        <scheme val="minor"/>
      </rPr>
      <t>2</t>
    </r>
    <r>
      <rPr>
        <sz val="11"/>
        <color theme="1"/>
        <rFont val="Calibri"/>
        <family val="2"/>
        <scheme val="minor"/>
      </rPr>
      <t xml:space="preserve"> Idling Emissions Costs</t>
    </r>
  </si>
  <si>
    <r>
      <t>CO</t>
    </r>
    <r>
      <rPr>
        <vertAlign val="subscript"/>
        <sz val="11"/>
        <color theme="1"/>
        <rFont val="Calibri"/>
        <family val="2"/>
        <scheme val="minor"/>
      </rPr>
      <t>2</t>
    </r>
    <r>
      <rPr>
        <sz val="11"/>
        <color theme="1"/>
        <rFont val="Calibri"/>
        <family val="2"/>
        <scheme val="minor"/>
      </rPr>
      <t xml:space="preserve"> Hauling Emissions Costs</t>
    </r>
    <r>
      <rPr>
        <sz val="11"/>
        <color theme="1"/>
        <rFont val="Calibri"/>
        <family val="2"/>
        <scheme val="minor"/>
      </rPr>
      <t xml:space="preserve"> - Catoosa</t>
    </r>
  </si>
  <si>
    <r>
      <t>CO</t>
    </r>
    <r>
      <rPr>
        <vertAlign val="subscript"/>
        <sz val="11"/>
        <color theme="1"/>
        <rFont val="Calibri"/>
        <family val="2"/>
        <scheme val="minor"/>
      </rPr>
      <t>2</t>
    </r>
    <r>
      <rPr>
        <sz val="11"/>
        <color theme="1"/>
        <rFont val="Calibri"/>
        <family val="2"/>
        <scheme val="minor"/>
      </rPr>
      <t xml:space="preserve"> Hauling Emissions Costs</t>
    </r>
    <r>
      <rPr>
        <sz val="11"/>
        <color theme="1"/>
        <rFont val="Calibri"/>
        <family val="2"/>
        <scheme val="minor"/>
      </rPr>
      <t xml:space="preserve"> - Muskogee</t>
    </r>
  </si>
  <si>
    <r>
      <t>CO</t>
    </r>
    <r>
      <rPr>
        <b/>
        <vertAlign val="subscript"/>
        <sz val="11"/>
        <color theme="1"/>
        <rFont val="Calibri"/>
        <family val="2"/>
        <scheme val="minor"/>
      </rPr>
      <t>2</t>
    </r>
    <r>
      <rPr>
        <b/>
        <sz val="11"/>
        <color theme="1"/>
        <rFont val="Calibri"/>
        <family val="2"/>
        <scheme val="minor"/>
      </rPr>
      <t xml:space="preserve"> Emissions Costs - Catoosa</t>
    </r>
  </si>
  <si>
    <r>
      <t>CO</t>
    </r>
    <r>
      <rPr>
        <b/>
        <vertAlign val="subscript"/>
        <sz val="11"/>
        <color theme="1"/>
        <rFont val="Calibri"/>
        <family val="2"/>
        <scheme val="minor"/>
      </rPr>
      <t>2</t>
    </r>
    <r>
      <rPr>
        <b/>
        <sz val="11"/>
        <color theme="1"/>
        <rFont val="Calibri"/>
        <family val="2"/>
        <scheme val="minor"/>
      </rPr>
      <t xml:space="preserve"> Emissions Costs - Muskogee</t>
    </r>
  </si>
  <si>
    <t>Barge Emissions Rates, per Million Ton-Mile</t>
  </si>
  <si>
    <r>
      <t>NO</t>
    </r>
    <r>
      <rPr>
        <vertAlign val="subscript"/>
        <sz val="11"/>
        <color theme="1"/>
        <rFont val="Calibri"/>
        <family val="2"/>
        <scheme val="minor"/>
      </rPr>
      <t>X</t>
    </r>
  </si>
  <si>
    <t>grams</t>
  </si>
  <si>
    <r>
      <t>CO</t>
    </r>
    <r>
      <rPr>
        <vertAlign val="subscript"/>
        <sz val="11"/>
        <color theme="1"/>
        <rFont val="Calibri"/>
        <family val="2"/>
        <scheme val="minor"/>
      </rPr>
      <t>2</t>
    </r>
  </si>
  <si>
    <r>
      <t>NO</t>
    </r>
    <r>
      <rPr>
        <b/>
        <vertAlign val="subscript"/>
        <sz val="11"/>
        <color theme="1"/>
        <rFont val="Calibri"/>
        <family val="2"/>
        <scheme val="minor"/>
      </rPr>
      <t>X</t>
    </r>
  </si>
  <si>
    <t>metric tons</t>
  </si>
  <si>
    <r>
      <t>CO</t>
    </r>
    <r>
      <rPr>
        <b/>
        <vertAlign val="subscript"/>
        <sz val="11"/>
        <color theme="1"/>
        <rFont val="Calibri"/>
        <family val="2"/>
        <scheme val="minor"/>
      </rPr>
      <t>2</t>
    </r>
  </si>
  <si>
    <t xml:space="preserve">Source: Table ES-3 Summary of Emissions - Grams per Ton-Mile, 2019 values. Modal Comparison of Domestic Freight Transportation prepared for National Waterways Foundation. </t>
  </si>
  <si>
    <t>https://nationalwaterwaysfoundation.org/file/28/tti%202022%20final%20report%202001-2019%201.pdf</t>
  </si>
  <si>
    <t>Congestion Cost per VMT</t>
  </si>
  <si>
    <t>Noise Cost per VMT</t>
  </si>
  <si>
    <t>Safety Cost per VMT</t>
  </si>
  <si>
    <t>Table 2. Avoided Externality Benefits</t>
  </si>
  <si>
    <t>Avoided Externalities</t>
  </si>
  <si>
    <t>Note: Safety benefits are accounted for in the 'Safety' tab.</t>
  </si>
  <si>
    <t>Amenity Benefits</t>
  </si>
  <si>
    <t xml:space="preserve">For recommended monetization values, please refer to the Parameter Values tab directly. </t>
  </si>
  <si>
    <t>There are numerous potential values for pedestrian facilities, bicycle facilities, transit vehicles, and transit stations.</t>
  </si>
  <si>
    <t>Table 2. Amenity Benefits</t>
  </si>
  <si>
    <t>Health Benefits</t>
  </si>
  <si>
    <t>Applicable Age Range</t>
  </si>
  <si>
    <t>Recommended Value per Induced Trip (2022 $)</t>
  </si>
  <si>
    <t>Walking</t>
  </si>
  <si>
    <t>Cycling</t>
  </si>
  <si>
    <t>Table 2. Health Benefits</t>
  </si>
  <si>
    <t xml:space="preserve">To calculate overall residual value for the entire project automatically, simply enter a useful life in the first row of Table 1 below. </t>
  </si>
  <si>
    <t>If there are multiple distinct components with unique useful lives, use multiple rows as needed and override the formula and names in the input cells of Table 1 below.</t>
  </si>
  <si>
    <t>For projects that involve capacity expansion or represent purely operational improvements, no residual value should be assumed.</t>
  </si>
  <si>
    <t>Table 1. Useful Life</t>
  </si>
  <si>
    <t>Project Component</t>
  </si>
  <si>
    <t>Capital Cost (2022 $)</t>
  </si>
  <si>
    <t>Useful Life (Years)</t>
  </si>
  <si>
    <t>Overall Project if One Component</t>
  </si>
  <si>
    <t>[Text Describing Project Component]</t>
  </si>
  <si>
    <t>Total Residual Value</t>
  </si>
  <si>
    <t>To manually calculate the residual value, please enter your estimated value in the blue italicized cell below in lieu of the automatic calculation</t>
  </si>
  <si>
    <t>To remove the residual value, please enter "0" in the blue cell below in lieu of the automatic calculation</t>
  </si>
  <si>
    <t>Table 2. Residual Value</t>
  </si>
  <si>
    <t>Cargo Spillage</t>
  </si>
  <si>
    <t>This is an extra benefit sheet for an additional benefit category not captured elsewhere</t>
  </si>
  <si>
    <t>Table 1. Other Benefit</t>
  </si>
  <si>
    <t>Value of Lost Goods 
(No-Build)</t>
  </si>
  <si>
    <t>Spillage Rate</t>
  </si>
  <si>
    <t>Barge</t>
  </si>
  <si>
    <t>Truck</t>
  </si>
  <si>
    <t>Gallons/million ton-mile</t>
  </si>
  <si>
    <t>Source: National Waterways Foundation, Waterways: Better for the Environment, Better for Communities - January 2022</t>
  </si>
  <si>
    <t>https://waterwayscouncil.org/file/422/MarineLogInlandwaterways_Apr_ML.pdf</t>
  </si>
  <si>
    <t>Gallons/Ton</t>
  </si>
  <si>
    <t>Tonnage Information in OK Portion (2020) for Determining Value/Ton</t>
  </si>
  <si>
    <t>Average Value/Ton</t>
  </si>
  <si>
    <t>Value/Ton</t>
  </si>
  <si>
    <t>Cargo Spillage - No-Build (Gallons)</t>
  </si>
  <si>
    <t>Cargo Spillage - Build (Gallons)</t>
  </si>
  <si>
    <t>Aggregates</t>
  </si>
  <si>
    <t>Equipment / Machinery</t>
  </si>
  <si>
    <t>Source: ODOT 2020 Freight &amp; Goods Movement</t>
  </si>
  <si>
    <t>https://oklahoma.gov/content/dam/ok/en/odot/publications/21_FG_Publication.pdf</t>
  </si>
  <si>
    <t>Assumes all tonnage comes from the Mississippi River per port operations.</t>
  </si>
  <si>
    <t>Average Value per Ton</t>
  </si>
  <si>
    <t>Other Benefit 2</t>
  </si>
  <si>
    <t>&lt;- Benefit Name</t>
  </si>
  <si>
    <t>Other Benefit 3</t>
  </si>
  <si>
    <t>Other Benefit 4</t>
  </si>
  <si>
    <t xml:space="preserve">Note that if more than four "other benefit" categories are needed, applicants may create a copy of this sheet (and rename accordingly). </t>
  </si>
  <si>
    <t>Additionally, the "Summary" sheet will need to be edited to include additional columns for benefits.</t>
  </si>
  <si>
    <t>Additionally, the formulas in the "Total Benefits" column may need to be adjusted to ensure all benefits are being summed correctly.</t>
  </si>
  <si>
    <t>Summary by Benefit Area</t>
  </si>
  <si>
    <t>Note that not all projects will have all benefit categories. Conversely, if more categories are needed, applicants may need to add additional columns, but be sure to edit the formula under "Total Benefits" to ensure all benefits are being correctly summed.</t>
  </si>
  <si>
    <t>Table 1. Summary of Benefits</t>
  </si>
  <si>
    <t>Non-CO2 Emission Reduction</t>
  </si>
  <si>
    <t>CO2 Emission Reduction</t>
  </si>
  <si>
    <t>Avoided Highway Externality</t>
  </si>
  <si>
    <t>Total Benefits</t>
  </si>
  <si>
    <t>Total Discounted Benefits</t>
  </si>
  <si>
    <t>Undiscounted Total</t>
  </si>
  <si>
    <t>Discounted Total</t>
  </si>
  <si>
    <t>Table 2. Summary of Costs</t>
  </si>
  <si>
    <t>Capital Cost</t>
  </si>
  <si>
    <t>Discounted Capital Cost</t>
  </si>
  <si>
    <t>Benefit Cost Analysis Results</t>
  </si>
  <si>
    <t>Table 1. BCA Results</t>
  </si>
  <si>
    <t>Total Discounted Costs</t>
  </si>
  <si>
    <t>Net Present Value</t>
  </si>
  <si>
    <t>Benefit Cost Ratio</t>
  </si>
  <si>
    <t>&lt;-The BCR will be estimated once capital costs are entered in the 'Capital Cost'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</si>
</sst>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quot;$&quot;#,##0.000_);[Red]\(&quot;$&quot;#,##0.000\)"/>
    <numFmt numFmtId="168" formatCode="&quot;$&quot;#,##0.0000_);[Red]\(&quot;$&quot;#,##0.0000\)"/>
    <numFmt numFmtId="169" formatCode="&quot;$&quot;#,##0.000"/>
    <numFmt numFmtId="170" formatCode="_(&quot;$&quot;* #,##0_);_(&quot;$&quot;* \(#,##0\);_(&quot;$&quot;* &quot;-&quot;??_);_(@_)"/>
    <numFmt numFmtId="171" formatCode="_(&quot;$&quot;* #,##0_);[Red]_(&quot;$&quot;* \(#,##0\);_(&quot;$&quot;* &quot;-&quot;??_);_(@_)"/>
    <numFmt numFmtId="172" formatCode="0.00000000000"/>
    <numFmt numFmtId="173" formatCode="0.0000000000000"/>
    <numFmt numFmtId="174" formatCode="0.00000000000000"/>
    <numFmt numFmtId="175" formatCode="0.0000000"/>
    <numFmt numFmtId="176" formatCode="0.0000"/>
  </numFmts>
  <fonts count="46" x14ac:knownFonts="1">
    <font>
      <sz val="11"/>
      <color theme="1"/>
      <name val="Calibri"/>
      <family val="2"/>
      <scheme val="minor"/>
    </font>
    <font>
      <u/>
      <sz val="11"/>
      <color theme="10"/>
      <name val="Calibri"/>
      <family val="2"/>
      <scheme val="minor"/>
    </font>
    <font>
      <sz val="11"/>
      <color rgb="FF1F497D"/>
      <name val="Times New Roman"/>
      <family val="1"/>
    </font>
    <font>
      <vertAlign val="superscript"/>
      <sz val="11"/>
      <color rgb="FF1F497D"/>
      <name val="Times New Roman"/>
      <family val="1"/>
    </font>
    <font>
      <vertAlign val="superscript"/>
      <sz val="11"/>
      <color theme="1"/>
      <name val="Calibri"/>
      <family val="2"/>
      <scheme val="minor"/>
    </font>
    <font>
      <b/>
      <i/>
      <sz val="11"/>
      <color theme="8" tint="-0.249977111117893"/>
      <name val="Times New Roman"/>
      <family val="1"/>
    </font>
    <font>
      <sz val="11"/>
      <color theme="1"/>
      <name val="Times New Roman"/>
      <family val="1"/>
    </font>
    <font>
      <vertAlign val="superscript"/>
      <sz val="11"/>
      <color theme="1"/>
      <name val="Times New Roman"/>
      <family val="1"/>
    </font>
    <font>
      <vertAlign val="subscript"/>
      <sz val="11"/>
      <color rgb="FF1F497D"/>
      <name val="Times New Roman"/>
      <family val="1"/>
    </font>
    <font>
      <b/>
      <u/>
      <sz val="11"/>
      <color theme="1"/>
      <name val="Calibri"/>
      <family val="2"/>
      <scheme val="minor"/>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15"/>
      <name val="Calibri"/>
      <family val="2"/>
      <scheme val="minor"/>
    </font>
    <font>
      <sz val="12"/>
      <color theme="1"/>
      <name val="Calibri"/>
      <family val="2"/>
      <scheme val="minor"/>
    </font>
    <font>
      <sz val="11"/>
      <name val="Calibri"/>
      <family val="2"/>
      <scheme val="minor"/>
    </font>
    <font>
      <b/>
      <sz val="11"/>
      <name val="Calibri"/>
      <family val="2"/>
      <scheme val="minor"/>
    </font>
    <font>
      <b/>
      <sz val="16"/>
      <color theme="0"/>
      <name val="Calibri"/>
      <family val="2"/>
      <scheme val="minor"/>
    </font>
    <font>
      <b/>
      <sz val="11"/>
      <color theme="0"/>
      <name val="Times New Roman"/>
      <family val="1"/>
    </font>
    <font>
      <sz val="11"/>
      <color theme="0"/>
      <name val="Times New Roman"/>
      <family val="1"/>
    </font>
    <font>
      <vertAlign val="superscript"/>
      <sz val="11"/>
      <color theme="0"/>
      <name val="Times New Roman"/>
      <family val="1"/>
    </font>
    <font>
      <vertAlign val="superscript"/>
      <sz val="11"/>
      <color theme="0"/>
      <name val="Calibri"/>
      <family val="2"/>
      <scheme val="minor"/>
    </font>
    <font>
      <vertAlign val="subscript"/>
      <sz val="11"/>
      <color theme="0"/>
      <name val="Times New Roman"/>
      <family val="1"/>
    </font>
    <font>
      <sz val="14"/>
      <name val="Calibri"/>
      <family val="2"/>
      <scheme val="minor"/>
    </font>
    <font>
      <vertAlign val="subscript"/>
      <sz val="11"/>
      <color theme="0"/>
      <name val="Calibri"/>
      <family val="2"/>
      <scheme val="minor"/>
    </font>
    <font>
      <vertAlign val="subscript"/>
      <sz val="11"/>
      <color theme="1"/>
      <name val="Calibri"/>
      <family val="2"/>
      <scheme val="minor"/>
    </font>
    <font>
      <u/>
      <sz val="11"/>
      <name val="Calibri"/>
      <family val="2"/>
      <scheme val="minor"/>
    </font>
    <font>
      <i/>
      <sz val="11"/>
      <name val="Calibri"/>
      <family val="2"/>
      <scheme val="minor"/>
    </font>
    <font>
      <b/>
      <sz val="11"/>
      <color theme="1"/>
      <name val="Calibri"/>
      <family val="2"/>
      <scheme val="minor"/>
    </font>
    <font>
      <sz val="10"/>
      <name val="Arial"/>
      <family val="2"/>
    </font>
    <font>
      <sz val="8"/>
      <name val="Helv"/>
    </font>
    <font>
      <b/>
      <sz val="11"/>
      <color theme="8" tint="-0.499984740745262"/>
      <name val="Calibri"/>
      <family val="2"/>
      <scheme val="minor"/>
    </font>
    <font>
      <b/>
      <vertAlign val="subscript"/>
      <sz val="11"/>
      <color theme="1"/>
      <name val="Calibri"/>
      <family val="2"/>
      <scheme val="minor"/>
    </font>
    <font>
      <b/>
      <sz val="11"/>
      <color rgb="FFFFFFFF"/>
      <name val="Times New Roman"/>
      <family val="1"/>
      <charset val="1"/>
    </font>
    <font>
      <sz val="11"/>
      <color theme="1"/>
      <name val="Times New Roman"/>
      <family val="1"/>
      <charset val="1"/>
    </font>
    <font>
      <b/>
      <sz val="11"/>
      <color theme="1"/>
      <name val="Times New Roman"/>
      <family val="1"/>
      <charset val="1"/>
    </font>
    <font>
      <b/>
      <sz val="11"/>
      <color rgb="FF000000"/>
      <name val="Times New Roman"/>
      <family val="1"/>
      <charset val="1"/>
    </font>
    <font>
      <sz val="12"/>
      <color theme="1"/>
      <name val="Times New Roman"/>
      <family val="1"/>
      <charset val="1"/>
    </font>
    <font>
      <b/>
      <sz val="11"/>
      <name val="Times New Roman"/>
      <family val="1"/>
      <charset val="1"/>
    </font>
    <font>
      <b/>
      <sz val="11"/>
      <color theme="1"/>
      <name val="Times New Roman"/>
      <family val="1"/>
    </font>
    <font>
      <b/>
      <sz val="11"/>
      <color rgb="FFFFFFFF"/>
      <name val="Times New Roman"/>
      <family val="1"/>
    </font>
    <font>
      <b/>
      <sz val="11"/>
      <color rgb="FF000000"/>
      <name val="Times New Roman"/>
      <family val="1"/>
    </font>
  </fonts>
  <fills count="17">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A9D08E"/>
        <bgColor indexed="64"/>
      </patternFill>
    </fill>
    <fill>
      <patternFill patternType="solid">
        <fgColor theme="0" tint="-4.9989318521683403E-2"/>
        <bgColor indexed="64"/>
      </patternFill>
    </fill>
    <fill>
      <patternFill patternType="solid">
        <fgColor theme="1"/>
        <bgColor indexed="64"/>
      </patternFill>
    </fill>
    <fill>
      <patternFill patternType="solid">
        <fgColor theme="4"/>
        <bgColor theme="4"/>
      </patternFill>
    </fill>
    <fill>
      <patternFill patternType="solid">
        <fgColor theme="4"/>
        <bgColor indexed="64"/>
      </patternFill>
    </fill>
    <fill>
      <patternFill patternType="solid">
        <fgColor theme="1"/>
        <bgColor theme="1"/>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CC"/>
      </patternFill>
    </fill>
    <fill>
      <patternFill patternType="solid">
        <fgColor theme="8" tint="0.39997558519241921"/>
        <bgColor indexed="64"/>
      </patternFill>
    </fill>
    <fill>
      <patternFill patternType="solid">
        <fgColor theme="7" tint="0.79998168889431442"/>
        <bgColor indexed="64"/>
      </patternFill>
    </fill>
    <fill>
      <patternFill patternType="solid">
        <fgColor them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ck">
        <color theme="4" tint="0.499984740745262"/>
      </top>
      <bottom style="thin">
        <color indexed="64"/>
      </bottom>
      <diagonal/>
    </border>
    <border>
      <left style="thin">
        <color indexed="64"/>
      </left>
      <right style="thin">
        <color indexed="64"/>
      </right>
      <top style="thick">
        <color theme="4" tint="0.499984740745262"/>
      </top>
      <bottom/>
      <diagonal/>
    </border>
    <border>
      <left style="thin">
        <color indexed="64"/>
      </left>
      <right/>
      <top/>
      <bottom style="medium">
        <color indexed="64"/>
      </bottom>
      <diagonal/>
    </border>
    <border>
      <left style="medium">
        <color indexed="64"/>
      </left>
      <right/>
      <top style="medium">
        <color indexed="64"/>
      </top>
      <bottom style="thick">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2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0" fontId="1" fillId="0" borderId="0" applyNumberFormat="0" applyFill="0" applyBorder="0" applyAlignment="0" applyProtection="0"/>
    <xf numFmtId="44" fontId="11" fillId="0" borderId="0" applyFont="0" applyFill="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0" applyNumberFormat="0" applyFill="0" applyBorder="0" applyAlignment="0" applyProtection="0"/>
    <xf numFmtId="0" fontId="18" fillId="0" borderId="0"/>
    <xf numFmtId="0" fontId="1" fillId="0" borderId="0" applyNumberFormat="0" applyFill="0" applyBorder="0" applyAlignment="0" applyProtection="0"/>
    <xf numFmtId="0" fontId="11" fillId="13" borderId="32" applyNumberFormat="0" applyFont="0" applyAlignment="0" applyProtection="0"/>
    <xf numFmtId="43" fontId="11" fillId="0" borderId="0" applyFont="0" applyFill="0" applyBorder="0" applyAlignment="0" applyProtection="0"/>
    <xf numFmtId="0" fontId="33" fillId="0" borderId="0"/>
    <xf numFmtId="3" fontId="34" fillId="0" borderId="44">
      <alignment horizontal="right"/>
    </xf>
  </cellStyleXfs>
  <cellXfs count="396">
    <xf numFmtId="0" fontId="0" fillId="0" borderId="0" xfId="0"/>
    <xf numFmtId="0" fontId="0" fillId="3" borderId="0" xfId="0" applyFill="1"/>
    <xf numFmtId="0" fontId="0" fillId="3" borderId="14" xfId="0" applyFill="1" applyBorder="1"/>
    <xf numFmtId="0" fontId="0" fillId="3" borderId="16" xfId="0" applyFill="1" applyBorder="1"/>
    <xf numFmtId="0" fontId="6" fillId="0" borderId="10" xfId="0" applyFont="1" applyBorder="1"/>
    <xf numFmtId="0" fontId="0" fillId="4" borderId="0" xfId="0" applyFill="1"/>
    <xf numFmtId="0" fontId="0" fillId="3" borderId="13" xfId="0" applyFill="1" applyBorder="1"/>
    <xf numFmtId="6" fontId="0" fillId="3" borderId="0" xfId="0" applyNumberFormat="1" applyFill="1"/>
    <xf numFmtId="6" fontId="0" fillId="3" borderId="21" xfId="0" applyNumberFormat="1" applyFill="1" applyBorder="1"/>
    <xf numFmtId="6" fontId="0" fillId="3" borderId="22" xfId="0" applyNumberFormat="1" applyFill="1" applyBorder="1"/>
    <xf numFmtId="0" fontId="0" fillId="0" borderId="7" xfId="0" applyBorder="1"/>
    <xf numFmtId="0" fontId="0" fillId="0" borderId="18"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9" xfId="0" applyBorder="1"/>
    <xf numFmtId="0" fontId="0" fillId="0" borderId="12" xfId="0" applyBorder="1"/>
    <xf numFmtId="6" fontId="0" fillId="3" borderId="4" xfId="0" applyNumberFormat="1" applyFill="1" applyBorder="1"/>
    <xf numFmtId="165" fontId="0" fillId="3" borderId="3" xfId="0" applyNumberFormat="1" applyFill="1" applyBorder="1"/>
    <xf numFmtId="165" fontId="0" fillId="3" borderId="5" xfId="0" applyNumberFormat="1" applyFill="1" applyBorder="1"/>
    <xf numFmtId="165" fontId="0" fillId="3" borderId="0" xfId="0" applyNumberFormat="1" applyFill="1"/>
    <xf numFmtId="6" fontId="9" fillId="2" borderId="2" xfId="0" applyNumberFormat="1" applyFont="1" applyFill="1" applyBorder="1"/>
    <xf numFmtId="1" fontId="9" fillId="2" borderId="1" xfId="0" applyNumberFormat="1" applyFont="1" applyFill="1" applyBorder="1"/>
    <xf numFmtId="0" fontId="9" fillId="2" borderId="17" xfId="0" applyFont="1" applyFill="1" applyBorder="1" applyAlignment="1">
      <alignment horizontal="right"/>
    </xf>
    <xf numFmtId="0" fontId="0" fillId="3" borderId="15" xfId="0" applyFill="1" applyBorder="1"/>
    <xf numFmtId="6" fontId="0" fillId="3" borderId="20" xfId="0" applyNumberFormat="1" applyFill="1" applyBorder="1"/>
    <xf numFmtId="1" fontId="9" fillId="2" borderId="2" xfId="0" applyNumberFormat="1" applyFont="1" applyFill="1" applyBorder="1"/>
    <xf numFmtId="6" fontId="9" fillId="4" borderId="0" xfId="0" applyNumberFormat="1" applyFont="1" applyFill="1"/>
    <xf numFmtId="6" fontId="0" fillId="4" borderId="0" xfId="0" applyNumberFormat="1" applyFill="1"/>
    <xf numFmtId="1" fontId="0" fillId="3" borderId="13" xfId="0" applyNumberFormat="1" applyFill="1" applyBorder="1"/>
    <xf numFmtId="0" fontId="0" fillId="4" borderId="13" xfId="0" applyFill="1" applyBorder="1"/>
    <xf numFmtId="6" fontId="9" fillId="4" borderId="13" xfId="0" applyNumberFormat="1" applyFont="1" applyFill="1" applyBorder="1"/>
    <xf numFmtId="6" fontId="0" fillId="4" borderId="13" xfId="0" applyNumberFormat="1" applyFill="1" applyBorder="1"/>
    <xf numFmtId="1" fontId="9" fillId="2" borderId="15" xfId="0" applyNumberFormat="1" applyFont="1" applyFill="1" applyBorder="1"/>
    <xf numFmtId="0" fontId="0" fillId="4" borderId="1" xfId="0" applyFill="1" applyBorder="1" applyAlignment="1">
      <alignment vertical="top" wrapText="1"/>
    </xf>
    <xf numFmtId="165" fontId="0" fillId="4" borderId="0" xfId="0" applyNumberFormat="1" applyFill="1"/>
    <xf numFmtId="165" fontId="0" fillId="3" borderId="16" xfId="0" applyNumberFormat="1" applyFill="1" applyBorder="1"/>
    <xf numFmtId="0" fontId="0" fillId="4" borderId="0" xfId="0" applyFill="1" applyAlignment="1">
      <alignment vertical="top" wrapText="1"/>
    </xf>
    <xf numFmtId="164" fontId="0" fillId="4" borderId="1" xfId="0" applyNumberFormat="1" applyFill="1" applyBorder="1" applyAlignment="1">
      <alignment vertical="top" wrapText="1"/>
    </xf>
    <xf numFmtId="165" fontId="0" fillId="4" borderId="1" xfId="0" applyNumberFormat="1" applyFill="1" applyBorder="1" applyAlignment="1">
      <alignment vertical="top" wrapText="1"/>
    </xf>
    <xf numFmtId="8" fontId="0" fillId="4" borderId="1" xfId="0" applyNumberFormat="1" applyFill="1" applyBorder="1" applyAlignment="1">
      <alignment vertical="top" wrapText="1"/>
    </xf>
    <xf numFmtId="0" fontId="0" fillId="4" borderId="1" xfId="0" applyFill="1" applyBorder="1"/>
    <xf numFmtId="164" fontId="0" fillId="4" borderId="1" xfId="2" applyNumberFormat="1" applyFont="1" applyFill="1" applyBorder="1"/>
    <xf numFmtId="0" fontId="17" fillId="4" borderId="24" xfId="3" applyFont="1" applyFill="1" applyAlignment="1">
      <alignment wrapText="1"/>
    </xf>
    <xf numFmtId="0" fontId="11" fillId="0" borderId="0" xfId="6" quotePrefix="1" applyFont="1"/>
    <xf numFmtId="0" fontId="13" fillId="0" borderId="25" xfId="4" applyFill="1" applyAlignment="1">
      <alignment wrapText="1"/>
    </xf>
    <xf numFmtId="0" fontId="13" fillId="0" borderId="25" xfId="4" applyFill="1" applyAlignment="1"/>
    <xf numFmtId="0" fontId="19" fillId="6" borderId="21" xfId="0" applyFont="1" applyFill="1" applyBorder="1" applyAlignment="1">
      <alignment vertical="center" wrapText="1"/>
    </xf>
    <xf numFmtId="0" fontId="19" fillId="6" borderId="26" xfId="0" applyFont="1" applyFill="1" applyBorder="1" applyAlignment="1">
      <alignment vertical="center" wrapText="1"/>
    </xf>
    <xf numFmtId="0" fontId="19" fillId="6" borderId="21" xfId="0" applyFont="1" applyFill="1" applyBorder="1" applyAlignment="1">
      <alignment horizontal="left" wrapText="1"/>
    </xf>
    <xf numFmtId="0" fontId="19" fillId="6" borderId="21" xfId="0" applyFont="1" applyFill="1" applyBorder="1" applyAlignment="1">
      <alignment horizontal="left"/>
    </xf>
    <xf numFmtId="0" fontId="1" fillId="6" borderId="6" xfId="1" applyFill="1" applyBorder="1" applyAlignment="1">
      <alignment vertical="center" wrapText="1"/>
    </xf>
    <xf numFmtId="0" fontId="19" fillId="6" borderId="27" xfId="0" applyFont="1" applyFill="1" applyBorder="1" applyAlignment="1">
      <alignment vertical="center" wrapText="1"/>
    </xf>
    <xf numFmtId="0" fontId="19" fillId="6" borderId="22" xfId="0" applyFont="1" applyFill="1" applyBorder="1" applyAlignment="1">
      <alignment wrapText="1"/>
    </xf>
    <xf numFmtId="0" fontId="21" fillId="7" borderId="2" xfId="0" applyFont="1" applyFill="1" applyBorder="1"/>
    <xf numFmtId="0" fontId="0" fillId="7" borderId="13" xfId="0" applyFill="1" applyBorder="1"/>
    <xf numFmtId="0" fontId="0" fillId="0" borderId="13" xfId="0" applyBorder="1"/>
    <xf numFmtId="0" fontId="0" fillId="0" borderId="23" xfId="0" applyBorder="1"/>
    <xf numFmtId="0" fontId="0" fillId="0" borderId="4" xfId="0" applyBorder="1"/>
    <xf numFmtId="0" fontId="1" fillId="0" borderId="3" xfId="1" applyBorder="1" applyAlignment="1"/>
    <xf numFmtId="0" fontId="0" fillId="0" borderId="3" xfId="0" applyBorder="1"/>
    <xf numFmtId="0" fontId="5" fillId="0" borderId="3" xfId="0" applyFont="1" applyBorder="1"/>
    <xf numFmtId="0" fontId="6" fillId="0" borderId="0" xfId="0" applyFont="1"/>
    <xf numFmtId="0" fontId="6" fillId="0" borderId="3" xfId="0" applyFont="1" applyBorder="1"/>
    <xf numFmtId="0" fontId="15" fillId="8" borderId="1" xfId="0" applyFont="1" applyFill="1" applyBorder="1" applyAlignment="1">
      <alignment wrapText="1"/>
    </xf>
    <xf numFmtId="0" fontId="2" fillId="0" borderId="1" xfId="0" applyFont="1" applyBorder="1" applyAlignment="1">
      <alignment vertical="center" wrapText="1"/>
    </xf>
    <xf numFmtId="6" fontId="2" fillId="0" borderId="1" xfId="0" applyNumberFormat="1" applyFont="1" applyBorder="1" applyAlignment="1">
      <alignment horizontal="right" vertical="center" wrapText="1"/>
    </xf>
    <xf numFmtId="0" fontId="6" fillId="0" borderId="1" xfId="0" applyFont="1" applyBorder="1"/>
    <xf numFmtId="164" fontId="2" fillId="0" borderId="1" xfId="0" applyNumberFormat="1" applyFont="1" applyBorder="1"/>
    <xf numFmtId="0" fontId="0" fillId="7" borderId="23" xfId="0" applyFill="1" applyBorder="1"/>
    <xf numFmtId="0" fontId="6" fillId="0" borderId="4" xfId="0" applyFont="1" applyBorder="1"/>
    <xf numFmtId="0" fontId="6" fillId="0" borderId="2" xfId="0" applyFont="1" applyBorder="1"/>
    <xf numFmtId="0" fontId="6" fillId="0" borderId="23" xfId="0" applyFont="1" applyBorder="1"/>
    <xf numFmtId="0" fontId="23" fillId="9" borderId="1" xfId="0" applyFont="1" applyFill="1" applyBorder="1" applyAlignment="1">
      <alignment vertical="center" wrapText="1"/>
    </xf>
    <xf numFmtId="0" fontId="23" fillId="9" borderId="1" xfId="0" applyFont="1" applyFill="1" applyBorder="1" applyAlignment="1">
      <alignment horizontal="right" vertical="center" wrapText="1"/>
    </xf>
    <xf numFmtId="2"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0" fontId="23" fillId="9" borderId="1" xfId="0" applyFont="1" applyFill="1" applyBorder="1" applyAlignment="1">
      <alignment vertical="center"/>
    </xf>
    <xf numFmtId="0" fontId="2" fillId="0" borderId="2" xfId="0" applyFont="1" applyBorder="1" applyAlignment="1">
      <alignment vertical="center" wrapText="1"/>
    </xf>
    <xf numFmtId="6" fontId="2" fillId="0" borderId="13" xfId="0" applyNumberFormat="1" applyFont="1" applyBorder="1" applyAlignment="1">
      <alignment horizontal="right" vertical="center" wrapText="1"/>
    </xf>
    <xf numFmtId="6" fontId="2" fillId="0" borderId="23" xfId="0" applyNumberFormat="1"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2" fillId="0" borderId="1" xfId="0" applyFont="1" applyBorder="1" applyAlignment="1">
      <alignment vertical="top" wrapText="1"/>
    </xf>
    <xf numFmtId="166" fontId="2" fillId="0" borderId="1" xfId="0" applyNumberFormat="1" applyFont="1" applyBorder="1"/>
    <xf numFmtId="0" fontId="2" fillId="0" borderId="3" xfId="0" applyFont="1" applyBorder="1"/>
    <xf numFmtId="0" fontId="2" fillId="0" borderId="10" xfId="0" applyFont="1" applyBorder="1"/>
    <xf numFmtId="0" fontId="2" fillId="0" borderId="1" xfId="0" applyFont="1" applyBorder="1" applyAlignment="1">
      <alignment vertical="center"/>
    </xf>
    <xf numFmtId="8"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0" fillId="0" borderId="2" xfId="0" applyBorder="1"/>
    <xf numFmtId="0" fontId="23" fillId="9" borderId="1" xfId="0" applyFont="1" applyFill="1" applyBorder="1" applyAlignment="1">
      <alignment horizontal="right" vertical="top" wrapText="1"/>
    </xf>
    <xf numFmtId="167" fontId="2" fillId="0" borderId="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0" fontId="12" fillId="0" borderId="29" xfId="3" applyFill="1" applyBorder="1" applyAlignment="1" applyProtection="1"/>
    <xf numFmtId="0" fontId="14" fillId="0" borderId="9" xfId="5" applyBorder="1" applyProtection="1"/>
    <xf numFmtId="0" fontId="0" fillId="3" borderId="1" xfId="0" applyFill="1" applyBorder="1"/>
    <xf numFmtId="1" fontId="0" fillId="3" borderId="1" xfId="0" applyNumberFormat="1" applyFill="1" applyBorder="1"/>
    <xf numFmtId="0" fontId="15" fillId="10" borderId="30" xfId="0" applyFont="1" applyFill="1" applyBorder="1"/>
    <xf numFmtId="0" fontId="15" fillId="10" borderId="31" xfId="0" applyFont="1" applyFill="1" applyBorder="1" applyAlignment="1">
      <alignment horizontal="left"/>
    </xf>
    <xf numFmtId="0" fontId="15" fillId="7" borderId="1" xfId="0" applyFont="1" applyFill="1" applyBorder="1" applyAlignment="1">
      <alignment horizontal="right"/>
    </xf>
    <xf numFmtId="0" fontId="15" fillId="11" borderId="1" xfId="0" applyFont="1" applyFill="1" applyBorder="1" applyAlignment="1">
      <alignment horizontal="center"/>
    </xf>
    <xf numFmtId="0" fontId="27" fillId="0" borderId="9" xfId="0" quotePrefix="1" applyFont="1" applyBorder="1" applyAlignment="1">
      <alignment vertical="top"/>
    </xf>
    <xf numFmtId="165" fontId="0" fillId="3" borderId="1" xfId="0" applyNumberFormat="1" applyFill="1" applyBorder="1"/>
    <xf numFmtId="0" fontId="15" fillId="10" borderId="1" xfId="0" applyFont="1" applyFill="1" applyBorder="1" applyAlignment="1">
      <alignment horizontal="center" vertical="center" wrapText="1"/>
    </xf>
    <xf numFmtId="0" fontId="16" fillId="7" borderId="1" xfId="0" applyFont="1" applyFill="1" applyBorder="1" applyAlignment="1">
      <alignment horizontal="right"/>
    </xf>
    <xf numFmtId="0" fontId="16" fillId="7" borderId="17" xfId="0" applyFont="1" applyFill="1" applyBorder="1" applyAlignment="1">
      <alignment horizontal="right"/>
    </xf>
    <xf numFmtId="0" fontId="16" fillId="7" borderId="22" xfId="0" applyFont="1" applyFill="1" applyBorder="1" applyAlignment="1">
      <alignment horizontal="right"/>
    </xf>
    <xf numFmtId="0" fontId="16" fillId="7" borderId="15" xfId="0" applyFont="1" applyFill="1" applyBorder="1" applyAlignment="1">
      <alignment horizontal="right"/>
    </xf>
    <xf numFmtId="0" fontId="16" fillId="7" borderId="15" xfId="0" applyFont="1" applyFill="1" applyBorder="1"/>
    <xf numFmtId="0" fontId="16" fillId="7" borderId="16" xfId="0" applyFont="1" applyFill="1" applyBorder="1"/>
    <xf numFmtId="0" fontId="16" fillId="7" borderId="16" xfId="0" applyFont="1" applyFill="1" applyBorder="1" applyAlignment="1">
      <alignment horizontal="right"/>
    </xf>
    <xf numFmtId="0" fontId="16" fillId="7" borderId="23" xfId="0" applyFont="1" applyFill="1" applyBorder="1" applyAlignment="1">
      <alignment horizontal="right"/>
    </xf>
    <xf numFmtId="0" fontId="16" fillId="7" borderId="15" xfId="0" applyFont="1" applyFill="1" applyBorder="1" applyAlignment="1">
      <alignment horizontal="left"/>
    </xf>
    <xf numFmtId="0" fontId="16" fillId="7" borderId="1" xfId="0" applyFont="1" applyFill="1" applyBorder="1" applyAlignment="1">
      <alignment vertical="top" wrapText="1"/>
    </xf>
    <xf numFmtId="0" fontId="16" fillId="7" borderId="1" xfId="0" applyFont="1" applyFill="1" applyBorder="1"/>
    <xf numFmtId="0" fontId="16" fillId="7" borderId="1" xfId="0" applyFont="1" applyFill="1" applyBorder="1" applyAlignment="1">
      <alignment wrapText="1"/>
    </xf>
    <xf numFmtId="9" fontId="9" fillId="2" borderId="1" xfId="0" applyNumberFormat="1" applyFont="1" applyFill="1" applyBorder="1"/>
    <xf numFmtId="6" fontId="9" fillId="2" borderId="1" xfId="0" applyNumberFormat="1" applyFont="1" applyFill="1" applyBorder="1"/>
    <xf numFmtId="1" fontId="0" fillId="3" borderId="3" xfId="0" applyNumberFormat="1" applyFill="1" applyBorder="1" applyAlignment="1">
      <alignment horizontal="right"/>
    </xf>
    <xf numFmtId="0" fontId="0" fillId="3" borderId="3" xfId="0" applyFill="1" applyBorder="1" applyAlignment="1">
      <alignment horizontal="right"/>
    </xf>
    <xf numFmtId="165" fontId="2" fillId="0" borderId="1" xfId="0" applyNumberFormat="1" applyFont="1" applyBorder="1"/>
    <xf numFmtId="164" fontId="2" fillId="0" borderId="1" xfId="0" applyNumberFormat="1" applyFont="1" applyBorder="1" applyAlignment="1">
      <alignment horizontal="right"/>
    </xf>
    <xf numFmtId="0" fontId="6" fillId="12" borderId="0" xfId="0" applyFont="1" applyFill="1"/>
    <xf numFmtId="0" fontId="6" fillId="12" borderId="23" xfId="0" applyFont="1" applyFill="1" applyBorder="1"/>
    <xf numFmtId="0" fontId="6" fillId="12" borderId="4" xfId="0" applyFont="1" applyFill="1" applyBorder="1"/>
    <xf numFmtId="0" fontId="6" fillId="12" borderId="6" xfId="0" applyFont="1" applyFill="1" applyBorder="1"/>
    <xf numFmtId="0" fontId="0" fillId="4" borderId="13" xfId="0" applyFill="1" applyBorder="1" applyAlignment="1">
      <alignment vertical="top" wrapText="1"/>
    </xf>
    <xf numFmtId="165" fontId="0" fillId="4" borderId="13" xfId="0" applyNumberFormat="1" applyFill="1" applyBorder="1" applyAlignment="1">
      <alignment vertical="top" wrapText="1"/>
    </xf>
    <xf numFmtId="0" fontId="0" fillId="12" borderId="1" xfId="0" applyFill="1" applyBorder="1" applyAlignment="1">
      <alignment vertical="top" wrapText="1"/>
    </xf>
    <xf numFmtId="8" fontId="0" fillId="12" borderId="1" xfId="0" applyNumberFormat="1" applyFill="1" applyBorder="1" applyAlignment="1">
      <alignment vertical="top" wrapText="1"/>
    </xf>
    <xf numFmtId="6" fontId="0" fillId="4" borderId="1" xfId="0" applyNumberFormat="1" applyFill="1" applyBorder="1" applyAlignment="1">
      <alignment vertical="top" wrapText="1"/>
    </xf>
    <xf numFmtId="0" fontId="12" fillId="0" borderId="0" xfId="3" applyFill="1" applyBorder="1" applyAlignment="1" applyProtection="1"/>
    <xf numFmtId="0" fontId="14" fillId="0" borderId="0" xfId="5" applyBorder="1" applyProtection="1"/>
    <xf numFmtId="165" fontId="9" fillId="2" borderId="2" xfId="0" applyNumberFormat="1" applyFont="1" applyFill="1" applyBorder="1"/>
    <xf numFmtId="165" fontId="9" fillId="2" borderId="20" xfId="0" applyNumberFormat="1" applyFont="1" applyFill="1" applyBorder="1"/>
    <xf numFmtId="165" fontId="9" fillId="2" borderId="15" xfId="0" applyNumberFormat="1" applyFont="1" applyFill="1" applyBorder="1"/>
    <xf numFmtId="165" fontId="9" fillId="2" borderId="1" xfId="0" applyNumberFormat="1" applyFont="1" applyFill="1" applyBorder="1"/>
    <xf numFmtId="0" fontId="14" fillId="12" borderId="0" xfId="5" applyFill="1" applyBorder="1" applyProtection="1"/>
    <xf numFmtId="167" fontId="0" fillId="4" borderId="1" xfId="0" applyNumberFormat="1" applyFill="1" applyBorder="1" applyAlignment="1">
      <alignment vertical="top" wrapText="1"/>
    </xf>
    <xf numFmtId="164" fontId="0" fillId="4" borderId="1" xfId="0" applyNumberFormat="1" applyFill="1" applyBorder="1"/>
    <xf numFmtId="169" fontId="0" fillId="4" borderId="1" xfId="0" applyNumberFormat="1" applyFill="1" applyBorder="1"/>
    <xf numFmtId="166" fontId="0" fillId="4" borderId="1" xfId="0" applyNumberFormat="1" applyFill="1" applyBorder="1"/>
    <xf numFmtId="2" fontId="0" fillId="3" borderId="1" xfId="0" applyNumberFormat="1" applyFill="1" applyBorder="1"/>
    <xf numFmtId="0" fontId="14" fillId="4" borderId="9" xfId="5" applyFill="1" applyBorder="1" applyProtection="1"/>
    <xf numFmtId="0" fontId="0" fillId="4" borderId="9" xfId="0" applyFill="1" applyBorder="1"/>
    <xf numFmtId="0" fontId="0" fillId="4" borderId="10" xfId="0" applyFill="1" applyBorder="1"/>
    <xf numFmtId="0" fontId="0" fillId="4" borderId="11" xfId="0" applyFill="1" applyBorder="1"/>
    <xf numFmtId="0" fontId="0" fillId="4" borderId="19" xfId="0" applyFill="1" applyBorder="1"/>
    <xf numFmtId="0" fontId="0" fillId="4" borderId="12" xfId="0" applyFill="1" applyBorder="1"/>
    <xf numFmtId="0" fontId="0" fillId="13" borderId="32" xfId="8" applyFont="1"/>
    <xf numFmtId="0" fontId="0" fillId="13" borderId="32" xfId="8" applyFont="1" applyAlignment="1">
      <alignment vertical="top"/>
    </xf>
    <xf numFmtId="0" fontId="0" fillId="13" borderId="32" xfId="8" applyFont="1" applyAlignment="1"/>
    <xf numFmtId="0" fontId="0" fillId="13" borderId="32" xfId="8" applyFont="1" applyAlignment="1">
      <alignment wrapText="1"/>
    </xf>
    <xf numFmtId="0" fontId="9" fillId="2" borderId="1" xfId="0" applyFont="1" applyFill="1" applyBorder="1"/>
    <xf numFmtId="6" fontId="10" fillId="14" borderId="0" xfId="0" applyNumberFormat="1" applyFont="1" applyFill="1"/>
    <xf numFmtId="170" fontId="9" fillId="3" borderId="16" xfId="2" applyNumberFormat="1" applyFont="1" applyFill="1" applyBorder="1"/>
    <xf numFmtId="43" fontId="9" fillId="3" borderId="17" xfId="9" applyFont="1" applyFill="1" applyBorder="1"/>
    <xf numFmtId="0" fontId="16" fillId="7" borderId="20" xfId="0" applyFont="1" applyFill="1" applyBorder="1" applyAlignment="1">
      <alignment horizontal="right"/>
    </xf>
    <xf numFmtId="0" fontId="16" fillId="7" borderId="20" xfId="0" applyFont="1" applyFill="1" applyBorder="1" applyAlignment="1">
      <alignment horizontal="right" wrapText="1"/>
    </xf>
    <xf numFmtId="0" fontId="16" fillId="7" borderId="0" xfId="0" applyFont="1" applyFill="1" applyAlignment="1">
      <alignment horizontal="right" wrapText="1"/>
    </xf>
    <xf numFmtId="165" fontId="9" fillId="2" borderId="1" xfId="2" applyNumberFormat="1" applyFont="1" applyFill="1" applyBorder="1"/>
    <xf numFmtId="6" fontId="9" fillId="2" borderId="20" xfId="0" applyNumberFormat="1" applyFont="1" applyFill="1" applyBorder="1"/>
    <xf numFmtId="6" fontId="0" fillId="3" borderId="1" xfId="0" applyNumberFormat="1" applyFill="1" applyBorder="1"/>
    <xf numFmtId="0" fontId="19" fillId="5" borderId="4" xfId="0" applyFont="1" applyFill="1" applyBorder="1" applyAlignment="1">
      <alignment wrapText="1"/>
    </xf>
    <xf numFmtId="0" fontId="19" fillId="14" borderId="4" xfId="0" applyFont="1" applyFill="1" applyBorder="1" applyAlignment="1">
      <alignment wrapText="1"/>
    </xf>
    <xf numFmtId="165" fontId="10" fillId="14" borderId="1" xfId="2" applyNumberFormat="1" applyFont="1" applyFill="1" applyBorder="1"/>
    <xf numFmtId="0" fontId="19" fillId="3" borderId="4" xfId="0" applyFont="1" applyFill="1" applyBorder="1" applyAlignment="1">
      <alignment wrapText="1"/>
    </xf>
    <xf numFmtId="6" fontId="0" fillId="3" borderId="16" xfId="0" applyNumberFormat="1" applyFill="1" applyBorder="1"/>
    <xf numFmtId="6" fontId="10" fillId="14" borderId="16" xfId="0" applyNumberFormat="1" applyFont="1" applyFill="1" applyBorder="1"/>
    <xf numFmtId="6" fontId="0" fillId="3" borderId="17" xfId="0" applyNumberFormat="1" applyFill="1" applyBorder="1"/>
    <xf numFmtId="165" fontId="0" fillId="3" borderId="13" xfId="0" applyNumberFormat="1" applyFill="1" applyBorder="1"/>
    <xf numFmtId="0" fontId="0" fillId="3" borderId="23" xfId="0" applyFill="1" applyBorder="1"/>
    <xf numFmtId="14" fontId="0" fillId="3" borderId="6" xfId="0" applyNumberFormat="1" applyFill="1" applyBorder="1"/>
    <xf numFmtId="167" fontId="0" fillId="4" borderId="1" xfId="0" applyNumberFormat="1" applyFill="1" applyBorder="1" applyAlignment="1">
      <alignment horizontal="right" vertical="top" wrapText="1"/>
    </xf>
    <xf numFmtId="14" fontId="0" fillId="3" borderId="14" xfId="0" applyNumberFormat="1" applyFill="1" applyBorder="1"/>
    <xf numFmtId="0" fontId="19" fillId="6" borderId="1" xfId="0" applyFont="1" applyFill="1" applyBorder="1" applyAlignment="1">
      <alignment vertical="center" wrapText="1"/>
    </xf>
    <xf numFmtId="0" fontId="32" fillId="0" borderId="1" xfId="0" applyFont="1" applyBorder="1" applyAlignment="1">
      <alignment horizontal="center" vertical="center"/>
    </xf>
    <xf numFmtId="0" fontId="32" fillId="0" borderId="1" xfId="0" applyFont="1" applyBorder="1"/>
    <xf numFmtId="0" fontId="0" fillId="0" borderId="1" xfId="0" applyBorder="1"/>
    <xf numFmtId="0" fontId="0" fillId="0" borderId="1" xfId="0" applyBorder="1" applyAlignment="1">
      <alignment horizontal="center" vertical="center"/>
    </xf>
    <xf numFmtId="10"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32"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3" fontId="0" fillId="0" borderId="0" xfId="0" applyNumberFormat="1" applyAlignment="1">
      <alignment horizontal="center" vertical="center"/>
    </xf>
    <xf numFmtId="3" fontId="0" fillId="4" borderId="0" xfId="0" applyNumberFormat="1" applyFill="1" applyAlignment="1">
      <alignment horizontal="center" vertical="center"/>
    </xf>
    <xf numFmtId="0" fontId="32" fillId="0" borderId="0" xfId="0" applyFont="1"/>
    <xf numFmtId="0" fontId="0" fillId="4" borderId="0" xfId="0" applyFill="1" applyAlignment="1">
      <alignment horizontal="left"/>
    </xf>
    <xf numFmtId="0" fontId="0" fillId="0" borderId="18" xfId="0" applyBorder="1" applyAlignment="1">
      <alignment horizontal="left"/>
    </xf>
    <xf numFmtId="0" fontId="0" fillId="0" borderId="0" xfId="0" applyAlignment="1">
      <alignment horizontal="left"/>
    </xf>
    <xf numFmtId="0" fontId="0" fillId="0" borderId="0" xfId="0" applyAlignment="1">
      <alignment horizontal="left" vertical="center"/>
    </xf>
    <xf numFmtId="0" fontId="0" fillId="4" borderId="0" xfId="0" applyFill="1" applyAlignment="1">
      <alignment horizontal="left" vertical="center"/>
    </xf>
    <xf numFmtId="0" fontId="0" fillId="4" borderId="19" xfId="0" applyFill="1" applyBorder="1" applyAlignment="1">
      <alignment horizontal="left"/>
    </xf>
    <xf numFmtId="0" fontId="32" fillId="0" borderId="1" xfId="0" applyFont="1" applyBorder="1" applyAlignment="1">
      <alignment horizontal="left" vertical="center"/>
    </xf>
    <xf numFmtId="0" fontId="0" fillId="0" borderId="1" xfId="0" applyBorder="1" applyAlignment="1">
      <alignment horizontal="left" vertical="center"/>
    </xf>
    <xf numFmtId="0" fontId="32" fillId="4" borderId="1" xfId="0" applyFont="1" applyFill="1" applyBorder="1"/>
    <xf numFmtId="10" fontId="32" fillId="4" borderId="1" xfId="0" applyNumberFormat="1" applyFont="1" applyFill="1" applyBorder="1" applyAlignment="1">
      <alignment horizontal="center" vertical="center"/>
    </xf>
    <xf numFmtId="3" fontId="32" fillId="4" borderId="1" xfId="0" applyNumberFormat="1" applyFont="1" applyFill="1" applyBorder="1" applyAlignment="1">
      <alignment horizontal="center" vertical="center"/>
    </xf>
    <xf numFmtId="3" fontId="32" fillId="0" borderId="1" xfId="0" applyNumberFormat="1" applyFont="1" applyBorder="1" applyAlignment="1">
      <alignment horizontal="center" vertical="center"/>
    </xf>
    <xf numFmtId="0" fontId="0" fillId="0" borderId="18" xfId="0" applyBorder="1" applyAlignment="1">
      <alignment horizontal="center" vertical="center"/>
    </xf>
    <xf numFmtId="0" fontId="0" fillId="4" borderId="19" xfId="0" applyFill="1" applyBorder="1" applyAlignment="1">
      <alignment horizontal="center" vertical="center"/>
    </xf>
    <xf numFmtId="0" fontId="32" fillId="0" borderId="36" xfId="0" applyFont="1" applyBorder="1" applyAlignment="1">
      <alignment horizontal="center" vertical="center"/>
    </xf>
    <xf numFmtId="0" fontId="32" fillId="0" borderId="37" xfId="0" applyFont="1" applyBorder="1" applyAlignment="1">
      <alignment horizontal="center" vertical="center"/>
    </xf>
    <xf numFmtId="0" fontId="0" fillId="0" borderId="36" xfId="0" applyBorder="1"/>
    <xf numFmtId="3" fontId="0" fillId="0" borderId="37" xfId="0" applyNumberFormat="1" applyBorder="1" applyAlignment="1">
      <alignment horizontal="center" vertical="center"/>
    </xf>
    <xf numFmtId="0" fontId="32" fillId="4" borderId="38" xfId="0" applyFont="1" applyFill="1" applyBorder="1"/>
    <xf numFmtId="0" fontId="32" fillId="4" borderId="39" xfId="0" applyFont="1" applyFill="1" applyBorder="1"/>
    <xf numFmtId="3" fontId="32" fillId="0" borderId="40" xfId="0" applyNumberFormat="1" applyFont="1" applyBorder="1" applyAlignment="1">
      <alignment horizontal="center" vertical="center"/>
    </xf>
    <xf numFmtId="0" fontId="32" fillId="0" borderId="36" xfId="0" applyFont="1" applyBorder="1"/>
    <xf numFmtId="0" fontId="0" fillId="0" borderId="37" xfId="0" applyBorder="1" applyAlignment="1">
      <alignment horizontal="center" vertical="center"/>
    </xf>
    <xf numFmtId="0" fontId="0" fillId="0" borderId="36" xfId="0" applyBorder="1" applyAlignment="1">
      <alignment horizontal="left" vertical="center"/>
    </xf>
    <xf numFmtId="0" fontId="32" fillId="0" borderId="36" xfId="0" applyFont="1" applyBorder="1" applyAlignment="1">
      <alignment horizontal="left" vertical="center"/>
    </xf>
    <xf numFmtId="0" fontId="32" fillId="0" borderId="38" xfId="0" applyFont="1" applyBorder="1" applyAlignment="1">
      <alignment horizontal="left" vertical="center"/>
    </xf>
    <xf numFmtId="0" fontId="32" fillId="0" borderId="39" xfId="0" applyFont="1" applyBorder="1"/>
    <xf numFmtId="9" fontId="0" fillId="4" borderId="43" xfId="0" applyNumberFormat="1" applyFill="1" applyBorder="1" applyAlignment="1">
      <alignment horizontal="center" vertical="center"/>
    </xf>
    <xf numFmtId="0" fontId="32" fillId="4" borderId="0" xfId="0" applyFont="1" applyFill="1" applyAlignment="1">
      <alignment horizontal="center" vertical="center"/>
    </xf>
    <xf numFmtId="9" fontId="0" fillId="4" borderId="1" xfId="0" applyNumberFormat="1" applyFill="1" applyBorder="1" applyAlignment="1">
      <alignment horizontal="center" vertical="center"/>
    </xf>
    <xf numFmtId="0" fontId="1" fillId="4" borderId="0" xfId="1" applyFill="1"/>
    <xf numFmtId="0" fontId="32" fillId="4" borderId="1" xfId="0" applyFont="1" applyFill="1" applyBorder="1" applyAlignment="1">
      <alignment horizontal="center" vertical="center" wrapText="1"/>
    </xf>
    <xf numFmtId="3" fontId="9" fillId="5" borderId="1" xfId="0" applyNumberFormat="1" applyFont="1" applyFill="1" applyBorder="1"/>
    <xf numFmtId="1" fontId="0" fillId="4" borderId="1" xfId="0" applyNumberFormat="1" applyFill="1" applyBorder="1" applyAlignment="1">
      <alignment horizontal="center" vertical="center"/>
    </xf>
    <xf numFmtId="0" fontId="32" fillId="15" borderId="1" xfId="0" applyFont="1" applyFill="1" applyBorder="1" applyAlignment="1">
      <alignment horizontal="center" vertical="center"/>
    </xf>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9" fontId="32" fillId="0" borderId="1" xfId="0" applyNumberFormat="1" applyFont="1" applyBorder="1" applyAlignment="1">
      <alignment horizontal="center" vertical="center"/>
    </xf>
    <xf numFmtId="165" fontId="32" fillId="0" borderId="1" xfId="0" applyNumberFormat="1" applyFont="1" applyBorder="1" applyAlignment="1">
      <alignment horizontal="center" vertical="center"/>
    </xf>
    <xf numFmtId="0" fontId="1" fillId="0" borderId="0" xfId="1" applyAlignment="1">
      <alignment horizontal="left" vertical="center"/>
    </xf>
    <xf numFmtId="3" fontId="19" fillId="0" borderId="1" xfId="11" applyFont="1" applyBorder="1" applyAlignment="1">
      <alignment horizontal="center" vertical="center"/>
    </xf>
    <xf numFmtId="0" fontId="32" fillId="0" borderId="0" xfId="0" applyFont="1" applyAlignment="1">
      <alignment horizontal="left" vertical="center"/>
    </xf>
    <xf numFmtId="2" fontId="32" fillId="0" borderId="1" xfId="0" applyNumberFormat="1" applyFont="1" applyBorder="1" applyAlignment="1">
      <alignment horizontal="center" vertical="center"/>
    </xf>
    <xf numFmtId="0" fontId="1" fillId="0" borderId="0" xfId="1"/>
    <xf numFmtId="0" fontId="32" fillId="4" borderId="15" xfId="0" applyFont="1" applyFill="1" applyBorder="1" applyAlignment="1">
      <alignment horizontal="center" vertical="center"/>
    </xf>
    <xf numFmtId="0" fontId="32" fillId="0" borderId="22" xfId="0" applyFont="1" applyBorder="1" applyAlignment="1">
      <alignment horizontal="center" vertical="center"/>
    </xf>
    <xf numFmtId="6" fontId="0" fillId="0" borderId="1" xfId="0" applyNumberFormat="1" applyBorder="1" applyAlignment="1">
      <alignment vertical="top" wrapText="1"/>
    </xf>
    <xf numFmtId="164" fontId="0" fillId="0" borderId="1" xfId="0" applyNumberFormat="1" applyBorder="1"/>
    <xf numFmtId="174" fontId="32" fillId="4" borderId="1" xfId="0" applyNumberFormat="1" applyFont="1" applyFill="1" applyBorder="1"/>
    <xf numFmtId="173" fontId="32" fillId="0" borderId="1" xfId="0" applyNumberFormat="1" applyFont="1" applyBorder="1" applyAlignment="1">
      <alignment horizontal="center" vertical="center"/>
    </xf>
    <xf numFmtId="3" fontId="32" fillId="4" borderId="15" xfId="0" applyNumberFormat="1" applyFont="1" applyFill="1" applyBorder="1" applyAlignment="1">
      <alignment horizontal="center" vertical="center"/>
    </xf>
    <xf numFmtId="0" fontId="35" fillId="0" borderId="20" xfId="0" applyFont="1" applyBorder="1" applyAlignment="1">
      <alignment horizontal="center"/>
    </xf>
    <xf numFmtId="3" fontId="35" fillId="4" borderId="15" xfId="0" applyNumberFormat="1" applyFont="1" applyFill="1" applyBorder="1" applyAlignment="1">
      <alignment horizontal="center" vertical="center"/>
    </xf>
    <xf numFmtId="3" fontId="35" fillId="0" borderId="1" xfId="0" applyNumberFormat="1" applyFont="1" applyBorder="1" applyAlignment="1">
      <alignment horizontal="center" vertical="center"/>
    </xf>
    <xf numFmtId="0" fontId="32" fillId="0" borderId="0" xfId="0" applyFont="1" applyAlignment="1">
      <alignment horizontal="center" vertical="center"/>
    </xf>
    <xf numFmtId="164" fontId="0" fillId="0" borderId="0" xfId="0" applyNumberFormat="1"/>
    <xf numFmtId="164" fontId="0" fillId="0" borderId="1" xfId="0" applyNumberFormat="1" applyBorder="1" applyAlignment="1">
      <alignment horizontal="center" vertical="center"/>
    </xf>
    <xf numFmtId="169" fontId="0" fillId="0" borderId="1" xfId="0" applyNumberFormat="1" applyBorder="1"/>
    <xf numFmtId="166" fontId="0" fillId="0" borderId="1" xfId="0" applyNumberFormat="1" applyBorder="1"/>
    <xf numFmtId="0" fontId="32" fillId="2" borderId="1" xfId="0" applyFont="1" applyFill="1" applyBorder="1" applyAlignment="1">
      <alignment horizontal="center" vertical="center" wrapText="1"/>
    </xf>
    <xf numFmtId="0" fontId="0" fillId="4" borderId="1" xfId="0" applyFill="1" applyBorder="1" applyAlignment="1">
      <alignment wrapText="1"/>
    </xf>
    <xf numFmtId="3" fontId="0" fillId="0" borderId="0" xfId="0" applyNumberFormat="1"/>
    <xf numFmtId="0" fontId="0" fillId="0" borderId="0" xfId="0" quotePrefix="1" applyAlignment="1">
      <alignment horizontal="center" vertical="center"/>
    </xf>
    <xf numFmtId="3" fontId="32" fillId="0" borderId="0" xfId="0" applyNumberFormat="1" applyFont="1" applyAlignment="1">
      <alignment horizontal="center" vertical="center"/>
    </xf>
    <xf numFmtId="172" fontId="32" fillId="0" borderId="0" xfId="0" applyNumberFormat="1" applyFont="1" applyAlignment="1">
      <alignment horizontal="center" vertical="center"/>
    </xf>
    <xf numFmtId="0" fontId="32" fillId="0" borderId="17" xfId="0" applyFont="1" applyBorder="1" applyAlignment="1">
      <alignment horizontal="center" vertical="center"/>
    </xf>
    <xf numFmtId="0" fontId="32" fillId="4" borderId="0" xfId="0" applyFont="1" applyFill="1"/>
    <xf numFmtId="0" fontId="32" fillId="0" borderId="18" xfId="0" applyFont="1" applyBorder="1"/>
    <xf numFmtId="0" fontId="32" fillId="0" borderId="19" xfId="0" applyFont="1" applyBorder="1"/>
    <xf numFmtId="6" fontId="0" fillId="0" borderId="1" xfId="0" applyNumberFormat="1" applyBorder="1"/>
    <xf numFmtId="0" fontId="1" fillId="0" borderId="0" xfId="1" applyBorder="1"/>
    <xf numFmtId="3" fontId="9" fillId="2" borderId="2" xfId="0" applyNumberFormat="1" applyFont="1" applyFill="1" applyBorder="1"/>
    <xf numFmtId="165" fontId="0" fillId="0" borderId="0" xfId="0" applyNumberFormat="1"/>
    <xf numFmtId="164" fontId="0" fillId="0" borderId="17" xfId="0" applyNumberFormat="1" applyBorder="1" applyAlignment="1">
      <alignment horizontal="center" vertical="center"/>
    </xf>
    <xf numFmtId="6" fontId="32" fillId="0" borderId="0" xfId="0" applyNumberFormat="1" applyFont="1" applyAlignment="1">
      <alignment horizontal="center" vertical="center"/>
    </xf>
    <xf numFmtId="6" fontId="0" fillId="0" borderId="0" xfId="0" applyNumberFormat="1" applyAlignment="1">
      <alignment horizontal="center" vertical="center"/>
    </xf>
    <xf numFmtId="0" fontId="32" fillId="0" borderId="1" xfId="0" applyFont="1" applyBorder="1" applyAlignment="1">
      <alignment horizontal="center"/>
    </xf>
    <xf numFmtId="0" fontId="32" fillId="0" borderId="0" xfId="0" applyFont="1" applyAlignment="1">
      <alignment vertical="center"/>
    </xf>
    <xf numFmtId="0" fontId="0" fillId="4" borderId="0" xfId="0" applyFill="1" applyAlignment="1">
      <alignment horizontal="right"/>
    </xf>
    <xf numFmtId="0" fontId="0" fillId="0" borderId="18" xfId="0" applyBorder="1" applyAlignment="1">
      <alignment horizontal="right"/>
    </xf>
    <xf numFmtId="0" fontId="0" fillId="0" borderId="0" xfId="0" applyAlignment="1">
      <alignment horizontal="right"/>
    </xf>
    <xf numFmtId="0" fontId="32" fillId="0" borderId="1" xfId="0" applyFont="1" applyBorder="1" applyAlignment="1">
      <alignment horizontal="right" vertical="center"/>
    </xf>
    <xf numFmtId="8" fontId="0" fillId="0" borderId="1" xfId="0" applyNumberFormat="1" applyBorder="1" applyAlignment="1">
      <alignment horizontal="right"/>
    </xf>
    <xf numFmtId="165" fontId="0" fillId="0" borderId="1" xfId="0" applyNumberFormat="1" applyBorder="1" applyAlignment="1">
      <alignment horizontal="right" vertical="center"/>
    </xf>
    <xf numFmtId="0" fontId="0" fillId="0" borderId="1" xfId="0" applyBorder="1" applyAlignment="1">
      <alignment horizontal="right"/>
    </xf>
    <xf numFmtId="164" fontId="32" fillId="0" borderId="1" xfId="0" applyNumberFormat="1" applyFont="1" applyBorder="1" applyAlignment="1">
      <alignment horizontal="right" vertical="center"/>
    </xf>
    <xf numFmtId="0" fontId="0" fillId="0" borderId="19" xfId="0" applyBorder="1" applyAlignment="1">
      <alignment horizontal="right"/>
    </xf>
    <xf numFmtId="0" fontId="0" fillId="0" borderId="0" xfId="0" applyAlignment="1">
      <alignment horizontal="center"/>
    </xf>
    <xf numFmtId="171" fontId="0" fillId="0" borderId="0" xfId="0" applyNumberFormat="1" applyAlignment="1">
      <alignment horizontal="center" vertical="center"/>
    </xf>
    <xf numFmtId="175" fontId="0" fillId="0" borderId="0" xfId="0" applyNumberFormat="1" applyAlignment="1">
      <alignment horizontal="center" vertical="center"/>
    </xf>
    <xf numFmtId="171" fontId="32" fillId="0" borderId="0" xfId="0" applyNumberFormat="1" applyFont="1" applyAlignment="1">
      <alignment horizontal="center" vertical="center"/>
    </xf>
    <xf numFmtId="165" fontId="32" fillId="0" borderId="0" xfId="0" applyNumberFormat="1" applyFont="1" applyAlignment="1">
      <alignment horizontal="center" vertical="center"/>
    </xf>
    <xf numFmtId="0" fontId="1" fillId="0" borderId="0" xfId="1" applyFill="1" applyAlignment="1">
      <alignment horizontal="left" vertical="center"/>
    </xf>
    <xf numFmtId="3" fontId="0" fillId="4" borderId="1" xfId="0" applyNumberFormat="1" applyFill="1" applyBorder="1" applyAlignment="1">
      <alignment horizontal="center" vertical="center"/>
    </xf>
    <xf numFmtId="3" fontId="20" fillId="0" borderId="1" xfId="11" applyFont="1" applyBorder="1" applyAlignment="1">
      <alignment horizontal="center" vertical="center"/>
    </xf>
    <xf numFmtId="0" fontId="0" fillId="0" borderId="15" xfId="0" applyBorder="1"/>
    <xf numFmtId="0" fontId="32" fillId="6" borderId="22" xfId="0" applyFont="1" applyFill="1" applyBorder="1" applyAlignment="1">
      <alignment horizontal="center" vertical="center"/>
    </xf>
    <xf numFmtId="167" fontId="0" fillId="0" borderId="1" xfId="0" applyNumberFormat="1" applyBorder="1" applyAlignment="1">
      <alignment vertical="top" wrapText="1"/>
    </xf>
    <xf numFmtId="0" fontId="0" fillId="0" borderId="1" xfId="0" applyBorder="1" applyAlignment="1">
      <alignment vertical="top" wrapText="1"/>
    </xf>
    <xf numFmtId="0" fontId="0" fillId="0" borderId="1" xfId="0" applyBorder="1" applyAlignment="1">
      <alignment horizontal="center"/>
    </xf>
    <xf numFmtId="0" fontId="0" fillId="0" borderId="1" xfId="0" applyBorder="1" applyAlignment="1">
      <alignment horizontal="right" vertical="center"/>
    </xf>
    <xf numFmtId="6" fontId="32" fillId="0" borderId="1" xfId="0" applyNumberFormat="1" applyFont="1" applyBorder="1"/>
    <xf numFmtId="172" fontId="32" fillId="0" borderId="1" xfId="0" applyNumberFormat="1" applyFont="1" applyBorder="1"/>
    <xf numFmtId="3" fontId="0" fillId="0" borderId="1" xfId="0" applyNumberFormat="1" applyBorder="1" applyAlignment="1">
      <alignment horizontal="right" vertical="center"/>
    </xf>
    <xf numFmtId="176" fontId="19" fillId="0" borderId="0" xfId="0" applyNumberFormat="1" applyFont="1"/>
    <xf numFmtId="176" fontId="20" fillId="0" borderId="0" xfId="0" applyNumberFormat="1" applyFont="1" applyAlignment="1">
      <alignment vertical="center"/>
    </xf>
    <xf numFmtId="176" fontId="20" fillId="0" borderId="0" xfId="0" applyNumberFormat="1" applyFont="1" applyAlignment="1">
      <alignment horizontal="center" vertical="center"/>
    </xf>
    <xf numFmtId="176" fontId="19" fillId="0" borderId="0" xfId="0" applyNumberFormat="1" applyFont="1" applyAlignment="1">
      <alignment horizontal="center" vertical="center"/>
    </xf>
    <xf numFmtId="0" fontId="19" fillId="0" borderId="1" xfId="1" applyFont="1" applyBorder="1" applyAlignment="1">
      <alignment horizontal="right"/>
    </xf>
    <xf numFmtId="0" fontId="19" fillId="0" borderId="1" xfId="0" applyFont="1" applyBorder="1"/>
    <xf numFmtId="170" fontId="19" fillId="0" borderId="1" xfId="2" applyNumberFormat="1" applyFont="1" applyBorder="1"/>
    <xf numFmtId="0" fontId="16" fillId="7" borderId="16" xfId="0" applyFont="1" applyFill="1" applyBorder="1" applyAlignment="1">
      <alignment horizontal="center"/>
    </xf>
    <xf numFmtId="176" fontId="19" fillId="0" borderId="1" xfId="1" applyNumberFormat="1" applyFont="1" applyBorder="1"/>
    <xf numFmtId="1" fontId="19" fillId="0" borderId="1" xfId="1" applyNumberFormat="1" applyFont="1" applyBorder="1"/>
    <xf numFmtId="6" fontId="32" fillId="0" borderId="0" xfId="0" applyNumberFormat="1" applyFont="1" applyAlignment="1">
      <alignment vertical="center"/>
    </xf>
    <xf numFmtId="165" fontId="0" fillId="0" borderId="0" xfId="0" applyNumberFormat="1" applyAlignment="1">
      <alignment horizontal="center" vertical="center"/>
    </xf>
    <xf numFmtId="0" fontId="1" fillId="0" borderId="0" xfId="1" applyFill="1" applyBorder="1"/>
    <xf numFmtId="164" fontId="0" fillId="0" borderId="0" xfId="0" applyNumberFormat="1" applyAlignment="1">
      <alignment horizontal="center" vertical="center"/>
    </xf>
    <xf numFmtId="0" fontId="0" fillId="0" borderId="1" xfId="0" applyBorder="1" applyAlignment="1">
      <alignment horizontal="center" wrapText="1"/>
    </xf>
    <xf numFmtId="0" fontId="9" fillId="0" borderId="0" xfId="0" applyFont="1"/>
    <xf numFmtId="164" fontId="0" fillId="4" borderId="0" xfId="0" applyNumberFormat="1" applyFill="1"/>
    <xf numFmtId="167" fontId="0" fillId="0" borderId="0" xfId="0" applyNumberFormat="1"/>
    <xf numFmtId="8" fontId="9" fillId="2" borderId="20" xfId="0" applyNumberFormat="1" applyFont="1" applyFill="1" applyBorder="1"/>
    <xf numFmtId="6" fontId="0" fillId="0" borderId="0" xfId="0" applyNumberFormat="1"/>
    <xf numFmtId="0" fontId="22" fillId="9" borderId="1" xfId="0" applyFont="1" applyFill="1" applyBorder="1" applyAlignment="1">
      <alignmen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8"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xf>
    <xf numFmtId="0" fontId="2" fillId="0" borderId="0" xfId="0" applyFont="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3" fillId="9" borderId="15"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7" xfId="0" applyFont="1" applyFill="1" applyBorder="1" applyAlignment="1">
      <alignment horizontal="center" vertical="center"/>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3" fillId="9" borderId="1" xfId="0" applyFont="1" applyFill="1" applyBorder="1" applyAlignment="1">
      <alignment vertical="center" wrapText="1"/>
    </xf>
    <xf numFmtId="0" fontId="23" fillId="9" borderId="1" xfId="0" applyFont="1" applyFill="1" applyBorder="1" applyAlignment="1">
      <alignment horizontal="center" vertical="center" wrapText="1"/>
    </xf>
    <xf numFmtId="0" fontId="2" fillId="0" borderId="10" xfId="0" applyFont="1" applyBorder="1" applyAlignment="1">
      <alignment horizontal="left" vertical="top" wrapText="1"/>
    </xf>
    <xf numFmtId="0" fontId="32" fillId="4" borderId="15" xfId="0" applyFont="1" applyFill="1" applyBorder="1" applyAlignment="1">
      <alignment horizontal="center" vertical="center"/>
    </xf>
    <xf numFmtId="0" fontId="32" fillId="4" borderId="16" xfId="0" applyFont="1" applyFill="1" applyBorder="1" applyAlignment="1">
      <alignment horizontal="center" vertical="center"/>
    </xf>
    <xf numFmtId="0" fontId="32" fillId="4" borderId="17" xfId="0" applyFont="1" applyFill="1" applyBorder="1" applyAlignment="1">
      <alignment horizontal="center" vertical="center"/>
    </xf>
    <xf numFmtId="0" fontId="32" fillId="4" borderId="1" xfId="0" applyFont="1" applyFill="1" applyBorder="1" applyAlignment="1">
      <alignment horizontal="center" vertical="center"/>
    </xf>
    <xf numFmtId="0" fontId="32" fillId="15" borderId="1" xfId="0" applyFont="1" applyFill="1" applyBorder="1" applyAlignment="1">
      <alignment horizontal="center" vertical="center"/>
    </xf>
    <xf numFmtId="0" fontId="32" fillId="15" borderId="1" xfId="0" applyFont="1" applyFill="1" applyBorder="1" applyAlignment="1">
      <alignment horizontal="center"/>
    </xf>
    <xf numFmtId="0" fontId="32" fillId="0" borderId="36" xfId="0" applyFont="1" applyBorder="1" applyAlignment="1">
      <alignment horizontal="center" vertical="center"/>
    </xf>
    <xf numFmtId="0" fontId="32" fillId="0" borderId="1" xfId="0" applyFont="1" applyBorder="1" applyAlignment="1">
      <alignment horizontal="center" vertical="center"/>
    </xf>
    <xf numFmtId="0" fontId="32" fillId="0" borderId="37" xfId="0" applyFont="1" applyBorder="1" applyAlignment="1">
      <alignment horizontal="center" vertical="center"/>
    </xf>
    <xf numFmtId="0" fontId="32" fillId="0" borderId="33" xfId="0" applyFont="1" applyBorder="1" applyAlignment="1">
      <alignment horizontal="center" vertical="center"/>
    </xf>
    <xf numFmtId="0" fontId="32" fillId="0" borderId="34" xfId="0" applyFont="1" applyBorder="1" applyAlignment="1">
      <alignment horizontal="center" vertical="center"/>
    </xf>
    <xf numFmtId="0" fontId="32" fillId="0" borderId="35" xfId="0" applyFont="1" applyBorder="1" applyAlignment="1">
      <alignment horizontal="center" vertical="center"/>
    </xf>
    <xf numFmtId="0" fontId="0" fillId="4" borderId="41" xfId="0" applyFill="1" applyBorder="1" applyAlignment="1">
      <alignment horizontal="center" vertical="center"/>
    </xf>
    <xf numFmtId="0" fontId="0" fillId="4" borderId="42" xfId="0" applyFill="1" applyBorder="1" applyAlignment="1">
      <alignment horizontal="center" vertical="center"/>
    </xf>
    <xf numFmtId="0" fontId="32" fillId="15" borderId="15" xfId="0" applyFont="1" applyFill="1" applyBorder="1" applyAlignment="1">
      <alignment horizontal="center" vertical="center"/>
    </xf>
    <xf numFmtId="0" fontId="32" fillId="15" borderId="16" xfId="0" applyFont="1" applyFill="1" applyBorder="1" applyAlignment="1">
      <alignment horizontal="center" vertical="center"/>
    </xf>
    <xf numFmtId="0" fontId="32" fillId="0" borderId="1" xfId="0" applyFont="1" applyBorder="1" applyAlignment="1">
      <alignment horizontal="left" vertical="center"/>
    </xf>
    <xf numFmtId="0" fontId="32" fillId="0" borderId="15" xfId="0" applyFont="1" applyBorder="1" applyAlignment="1">
      <alignment horizontal="center" vertical="center"/>
    </xf>
    <xf numFmtId="0" fontId="32" fillId="0" borderId="17" xfId="0" applyFont="1" applyBorder="1" applyAlignment="1">
      <alignment horizontal="center" vertical="center"/>
    </xf>
    <xf numFmtId="0" fontId="32" fillId="0" borderId="20" xfId="0" applyFont="1" applyBorder="1" applyAlignment="1">
      <alignment horizontal="center" vertical="center"/>
    </xf>
    <xf numFmtId="0" fontId="32" fillId="0" borderId="22" xfId="0" applyFont="1" applyBorder="1" applyAlignment="1">
      <alignment horizontal="center" vertical="center"/>
    </xf>
    <xf numFmtId="0" fontId="32" fillId="0" borderId="16" xfId="0" applyFont="1" applyBorder="1" applyAlignment="1">
      <alignment horizontal="center" vertical="center"/>
    </xf>
    <xf numFmtId="0" fontId="35" fillId="0" borderId="20" xfId="0" applyFont="1" applyBorder="1" applyAlignment="1">
      <alignment horizontal="center" vertical="center"/>
    </xf>
    <xf numFmtId="0" fontId="35" fillId="0" borderId="22" xfId="0" applyFont="1" applyBorder="1" applyAlignment="1">
      <alignment horizontal="center" vertical="center"/>
    </xf>
    <xf numFmtId="0" fontId="32" fillId="0" borderId="1" xfId="0" applyFont="1" applyBorder="1" applyAlignment="1">
      <alignment horizontal="center"/>
    </xf>
    <xf numFmtId="0" fontId="32" fillId="0" borderId="0" xfId="0" applyFont="1" applyAlignment="1">
      <alignment horizontal="center" vertical="center"/>
    </xf>
    <xf numFmtId="0" fontId="32" fillId="16" borderId="45" xfId="0" applyFont="1" applyFill="1" applyBorder="1" applyAlignment="1">
      <alignment horizontal="center"/>
    </xf>
    <xf numFmtId="0" fontId="32" fillId="16" borderId="46" xfId="0" applyFont="1" applyFill="1" applyBorder="1" applyAlignment="1">
      <alignment horizontal="center"/>
    </xf>
    <xf numFmtId="0" fontId="32" fillId="16" borderId="47" xfId="0" applyFont="1" applyFill="1" applyBorder="1" applyAlignment="1">
      <alignment horizontal="center"/>
    </xf>
    <xf numFmtId="0" fontId="32" fillId="16" borderId="41" xfId="0" applyFont="1" applyFill="1" applyBorder="1" applyAlignment="1">
      <alignment horizontal="center"/>
    </xf>
    <xf numFmtId="0" fontId="32" fillId="16" borderId="43" xfId="0" applyFont="1" applyFill="1" applyBorder="1" applyAlignment="1">
      <alignment horizontal="center"/>
    </xf>
    <xf numFmtId="0" fontId="9" fillId="0" borderId="0" xfId="0" applyFont="1" applyAlignment="1">
      <alignment horizontal="center" vertical="center"/>
    </xf>
    <xf numFmtId="3" fontId="0" fillId="4" borderId="0" xfId="0" applyNumberFormat="1" applyFill="1"/>
    <xf numFmtId="0" fontId="0" fillId="0" borderId="0" xfId="0" applyFill="1" applyBorder="1"/>
    <xf numFmtId="6" fontId="37" fillId="0" borderId="0" xfId="0" applyNumberFormat="1" applyFont="1" applyFill="1" applyBorder="1"/>
    <xf numFmtId="6" fontId="38" fillId="0" borderId="0" xfId="0" applyNumberFormat="1" applyFont="1" applyFill="1" applyBorder="1"/>
    <xf numFmtId="6" fontId="39" fillId="0" borderId="0" xfId="0" applyNumberFormat="1" applyFont="1" applyFill="1" applyBorder="1"/>
    <xf numFmtId="6" fontId="42" fillId="0" borderId="0" xfId="0" applyNumberFormat="1" applyFont="1" applyFill="1" applyBorder="1"/>
    <xf numFmtId="0" fontId="38" fillId="0" borderId="0" xfId="0" applyFont="1" applyFill="1" applyBorder="1"/>
    <xf numFmtId="6" fontId="41" fillId="0" borderId="0" xfId="0" applyNumberFormat="1" applyFont="1" applyFill="1" applyBorder="1"/>
    <xf numFmtId="6" fontId="0" fillId="0" borderId="0" xfId="0" applyNumberFormat="1" applyFill="1" applyBorder="1"/>
    <xf numFmtId="6" fontId="40" fillId="0" borderId="0" xfId="0" applyNumberFormat="1" applyFont="1" applyFill="1" applyBorder="1"/>
    <xf numFmtId="165" fontId="0" fillId="0" borderId="0" xfId="0" applyNumberFormat="1" applyFill="1" applyBorder="1"/>
    <xf numFmtId="0" fontId="0" fillId="4" borderId="0" xfId="0" applyFill="1" applyBorder="1"/>
    <xf numFmtId="6" fontId="44" fillId="4" borderId="0" xfId="0" applyNumberFormat="1" applyFont="1" applyFill="1" applyBorder="1" applyAlignment="1">
      <alignment horizontal="center" vertical="center" wrapText="1"/>
    </xf>
    <xf numFmtId="6" fontId="45" fillId="4" borderId="0" xfId="0" applyNumberFormat="1" applyFont="1" applyFill="1" applyBorder="1" applyAlignment="1">
      <alignment horizontal="center" vertical="center" wrapText="1"/>
    </xf>
    <xf numFmtId="6" fontId="43" fillId="4" borderId="0" xfId="0" applyNumberFormat="1" applyFont="1" applyFill="1" applyBorder="1" applyAlignment="1">
      <alignment horizontal="center" vertical="center" wrapText="1"/>
    </xf>
    <xf numFmtId="6" fontId="0" fillId="4" borderId="0" xfId="0" applyNumberFormat="1" applyFill="1" applyBorder="1"/>
    <xf numFmtId="0" fontId="20" fillId="0" borderId="0" xfId="5" applyFont="1" applyBorder="1" applyProtection="1"/>
  </cellXfs>
  <cellStyles count="12">
    <cellStyle name="Comma" xfId="9" builtinId="3"/>
    <cellStyle name="Currency" xfId="2" builtinId="4"/>
    <cellStyle name="Data" xfId="11" xr:uid="{7727F241-AB69-4E4F-AE25-30DC9EA6A479}"/>
    <cellStyle name="Heading 1" xfId="3" builtinId="16"/>
    <cellStyle name="Heading 2" xfId="4" builtinId="17"/>
    <cellStyle name="Heading 4" xfId="5" builtinId="19"/>
    <cellStyle name="Hyperlink" xfId="1" builtinId="8"/>
    <cellStyle name="Hyperlink 2" xfId="7" xr:uid="{304C8883-2D05-433A-93CD-BB7137A396C1}"/>
    <cellStyle name="Normal" xfId="0" builtinId="0"/>
    <cellStyle name="Normal 16" xfId="10" xr:uid="{B3CFD97F-A3C5-4FE1-8D33-18F706E123C6}"/>
    <cellStyle name="Normal 7" xfId="6" xr:uid="{39C09B7B-9AFF-4A61-96F1-6C02C073A05F}"/>
    <cellStyle name="Note" xfId="8" builtinId="10"/>
  </cellStyles>
  <dxfs count="21">
    <dxf>
      <font>
        <b val="0"/>
        <i/>
      </font>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u val="none"/>
      </font>
      <fill>
        <patternFill>
          <bgColor theme="4" tint="0.39994506668294322"/>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strike val="0"/>
        <u val="none"/>
      </font>
      <fill>
        <patternFill>
          <bgColor rgb="FFBFBFBF"/>
        </patternFill>
      </fill>
    </dxf>
  </dxfs>
  <tableStyles count="0" defaultTableStyle="TableStyleMedium2" defaultPivotStyle="PivotStyleLight16"/>
  <colors>
    <mruColors>
      <color rgb="FFA9D08E"/>
      <color rgb="FFFFFFCC"/>
      <color rgb="FFBFBFB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nationalwaterwaysfoundation.org/file/28/tti%202022%20final%20report%202001-2019%201.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hyperlink" Target="https://oklahoma.gov/content/dam/ok/en/odot/publications/21_FG_Publication.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ortation.gov/mission/office-secretary/office-policy/transportation-policy/benefit-cost-analysis-guidanc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oklahoma.gov/content/dam/ok/en/odot/documents/waterway/pdfs/ww-oklahoma-port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s://railroads.dot.gov/safety-data/accident-and-incident-reporting/accidentincident-dashboards-data-downloads" TargetMode="External"/><Relationship Id="rId2" Type="http://schemas.openxmlformats.org/officeDocument/2006/relationships/hyperlink" Target="https://www.bts.gov/content/us-ton-miles-freight" TargetMode="External"/><Relationship Id="rId1" Type="http://schemas.openxmlformats.org/officeDocument/2006/relationships/hyperlink" Target="https://www.bts.gov/topics/national-transportation-statistic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D2A8-0D1D-45CA-80EB-C8363DA63B93}">
  <sheetPr>
    <tabColor theme="0" tint="-0.249977111117893"/>
  </sheetPr>
  <dimension ref="A1:B24"/>
  <sheetViews>
    <sheetView workbookViewId="0"/>
  </sheetViews>
  <sheetFormatPr defaultColWidth="9.140625" defaultRowHeight="15" x14ac:dyDescent="0.25"/>
  <cols>
    <col min="1" max="1" width="72.85546875" style="5" customWidth="1"/>
    <col min="2" max="2" width="10.28515625" style="5" bestFit="1" customWidth="1"/>
    <col min="3" max="16384" width="9.140625" style="5"/>
  </cols>
  <sheetData>
    <row r="1" spans="1:1" ht="20.25" thickBot="1" x14ac:dyDescent="0.35">
      <c r="A1" s="44" t="s">
        <v>8</v>
      </c>
    </row>
    <row r="2" spans="1:1" ht="15.75" thickTop="1" x14ac:dyDescent="0.25">
      <c r="A2" s="45" t="s">
        <v>9</v>
      </c>
    </row>
    <row r="3" spans="1:1" ht="18" thickBot="1" x14ac:dyDescent="0.35">
      <c r="A3" s="47" t="s">
        <v>10</v>
      </c>
    </row>
    <row r="4" spans="1:1" ht="75.95" customHeight="1" thickTop="1" x14ac:dyDescent="0.25">
      <c r="A4" s="49" t="s">
        <v>11</v>
      </c>
    </row>
    <row r="5" spans="1:1" x14ac:dyDescent="0.25">
      <c r="A5" s="45" t="s">
        <v>12</v>
      </c>
    </row>
    <row r="6" spans="1:1" ht="18" thickBot="1" x14ac:dyDescent="0.35">
      <c r="A6" s="46" t="s">
        <v>13</v>
      </c>
    </row>
    <row r="7" spans="1:1" ht="15.75" thickTop="1" x14ac:dyDescent="0.25">
      <c r="A7" s="51" t="s">
        <v>14</v>
      </c>
    </row>
    <row r="8" spans="1:1" x14ac:dyDescent="0.25">
      <c r="A8" s="51" t="s">
        <v>15</v>
      </c>
    </row>
    <row r="9" spans="1:1" ht="30" x14ac:dyDescent="0.25">
      <c r="A9" s="50" t="s">
        <v>16</v>
      </c>
    </row>
    <row r="10" spans="1:1" x14ac:dyDescent="0.25">
      <c r="A10" s="52" t="str">
        <f>HYPERLINK("https://www.transportation.gov/mission/office-secretary/office-policy/transportation-policy/benefit-cost-analysis-guidance", "See USDOT BCA Guidance for full details.")</f>
        <v>See USDOT BCA Guidance for full details.</v>
      </c>
    </row>
    <row r="11" spans="1:1" x14ac:dyDescent="0.25">
      <c r="A11" s="45" t="s">
        <v>9</v>
      </c>
    </row>
    <row r="12" spans="1:1" ht="18" thickBot="1" x14ac:dyDescent="0.35">
      <c r="A12" s="46" t="s">
        <v>17</v>
      </c>
    </row>
    <row r="13" spans="1:1" ht="15.75" thickTop="1" x14ac:dyDescent="0.25">
      <c r="A13" s="53" t="s">
        <v>18</v>
      </c>
    </row>
    <row r="14" spans="1:1" ht="30" x14ac:dyDescent="0.25">
      <c r="A14" s="165" t="s">
        <v>19</v>
      </c>
    </row>
    <row r="15" spans="1:1" ht="30" x14ac:dyDescent="0.25">
      <c r="A15" s="166" t="s">
        <v>20</v>
      </c>
    </row>
    <row r="16" spans="1:1" ht="30" x14ac:dyDescent="0.25">
      <c r="A16" s="168" t="s">
        <v>21</v>
      </c>
    </row>
    <row r="17" spans="1:2" ht="45" x14ac:dyDescent="0.25">
      <c r="A17" s="48" t="s">
        <v>22</v>
      </c>
    </row>
    <row r="18" spans="1:2" x14ac:dyDescent="0.25">
      <c r="A18" s="48" t="s">
        <v>23</v>
      </c>
    </row>
    <row r="19" spans="1:2" ht="45" x14ac:dyDescent="0.25">
      <c r="A19" s="54" t="s">
        <v>24</v>
      </c>
    </row>
    <row r="22" spans="1:2" x14ac:dyDescent="0.25">
      <c r="A22" s="6" t="s">
        <v>25</v>
      </c>
      <c r="B22" s="173">
        <v>2022</v>
      </c>
    </row>
    <row r="23" spans="1:2" x14ac:dyDescent="0.25">
      <c r="A23" s="176" t="s">
        <v>26</v>
      </c>
      <c r="B23" s="174">
        <v>45295</v>
      </c>
    </row>
    <row r="24" spans="1:2" ht="45" x14ac:dyDescent="0.25">
      <c r="A24" s="177" t="s">
        <v>27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5586-785A-4FD2-A789-DCFA60DB471C}">
  <sheetPr>
    <tabColor theme="9" tint="0.39997558519241921"/>
  </sheetPr>
  <dimension ref="A1:BZ112"/>
  <sheetViews>
    <sheetView topLeftCell="A17" workbookViewId="0">
      <selection activeCell="F22" sqref="F22"/>
    </sheetView>
  </sheetViews>
  <sheetFormatPr defaultColWidth="9.140625" defaultRowHeight="15" x14ac:dyDescent="0.25"/>
  <cols>
    <col min="1" max="1" width="39" style="5" customWidth="1"/>
    <col min="2" max="2" width="35.42578125" style="5" customWidth="1"/>
    <col min="3" max="3" width="35.5703125" style="5" customWidth="1"/>
    <col min="4" max="4" width="30.140625" style="5" customWidth="1"/>
    <col min="5" max="5" width="26.85546875" style="5" customWidth="1"/>
    <col min="6" max="6" width="7.42578125" style="5" customWidth="1"/>
    <col min="7" max="14" width="20.5703125" style="5" customWidth="1"/>
    <col min="15" max="18" width="15.7109375" style="5" customWidth="1"/>
    <col min="19" max="19" width="28.5703125" style="5" customWidth="1"/>
    <col min="20" max="20" width="24.85546875" style="5" customWidth="1"/>
    <col min="21" max="27" width="9.140625" style="5"/>
    <col min="28" max="28" width="44.5703125" style="257" customWidth="1"/>
    <col min="29" max="29" width="12.5703125" style="5" customWidth="1"/>
    <col min="30" max="30" width="13.7109375" style="5" customWidth="1"/>
    <col min="31" max="44" width="9.140625" style="5"/>
    <col min="45" max="45" width="16.5703125" style="5" bestFit="1" customWidth="1"/>
    <col min="46" max="46" width="15.5703125" style="5" bestFit="1" customWidth="1"/>
    <col min="47" max="47" width="9.140625" style="5"/>
    <col min="48" max="48" width="17.5703125" style="5" bestFit="1" customWidth="1"/>
    <col min="49" max="49" width="9.140625" style="5"/>
    <col min="50" max="51" width="17.85546875" style="5" bestFit="1" customWidth="1"/>
    <col min="52" max="52" width="9.140625" style="5"/>
    <col min="53" max="53" width="15.42578125" style="5" bestFit="1" customWidth="1"/>
    <col min="54" max="54" width="9.140625" style="5"/>
    <col min="55" max="55" width="12.7109375" style="5" bestFit="1" customWidth="1"/>
    <col min="56" max="56" width="9.140625" style="5"/>
    <col min="57" max="58" width="13.85546875" style="5" bestFit="1" customWidth="1"/>
    <col min="59" max="60" width="9.140625" style="5"/>
    <col min="61" max="61" width="15.28515625" style="5" bestFit="1" customWidth="1"/>
    <col min="62" max="64" width="9.140625" style="5"/>
    <col min="65" max="65" width="13.7109375" style="5" bestFit="1" customWidth="1"/>
    <col min="66" max="66" width="9.140625" style="5"/>
    <col min="67" max="67" width="12.42578125" style="5" bestFit="1" customWidth="1"/>
    <col min="68" max="68" width="9.140625" style="5"/>
    <col min="69" max="69" width="13.140625" style="5" bestFit="1" customWidth="1"/>
    <col min="70" max="16384" width="9.140625" style="5"/>
  </cols>
  <sheetData>
    <row r="1" spans="1:9" ht="20.25" thickBot="1" x14ac:dyDescent="0.35">
      <c r="A1" s="95" t="s">
        <v>5</v>
      </c>
      <c r="B1" s="133"/>
      <c r="C1" s="133"/>
      <c r="D1" s="133"/>
      <c r="E1" s="133"/>
      <c r="F1" s="133"/>
    </row>
    <row r="2" spans="1:9" ht="15.75" thickTop="1" x14ac:dyDescent="0.25">
      <c r="A2" s="153" t="s">
        <v>464</v>
      </c>
      <c r="B2" s="154"/>
      <c r="C2" s="154"/>
      <c r="D2" s="154"/>
      <c r="E2" s="154"/>
      <c r="F2" s="154"/>
      <c r="G2" s="154"/>
      <c r="H2" s="154"/>
      <c r="I2" s="154"/>
    </row>
    <row r="3" spans="1:9" x14ac:dyDescent="0.25">
      <c r="A3" s="153" t="s">
        <v>465</v>
      </c>
      <c r="B3" s="154"/>
      <c r="C3" s="154"/>
      <c r="D3" s="154"/>
    </row>
    <row r="4" spans="1:9" x14ac:dyDescent="0.25">
      <c r="A4" s="153" t="s">
        <v>466</v>
      </c>
      <c r="B4" s="154"/>
      <c r="C4" s="154"/>
    </row>
    <row r="5" spans="1:9" x14ac:dyDescent="0.25">
      <c r="A5" s="153" t="s">
        <v>467</v>
      </c>
      <c r="B5" s="154"/>
      <c r="C5" s="154"/>
      <c r="D5" s="154"/>
      <c r="E5" s="154"/>
    </row>
    <row r="6" spans="1:9" x14ac:dyDescent="0.25">
      <c r="A6" s="5" t="s">
        <v>30</v>
      </c>
    </row>
    <row r="7" spans="1:9" x14ac:dyDescent="0.25">
      <c r="A7" s="96" t="s">
        <v>468</v>
      </c>
    </row>
    <row r="8" spans="1:9" ht="30" x14ac:dyDescent="0.25">
      <c r="A8" s="115" t="s">
        <v>209</v>
      </c>
      <c r="B8" s="115" t="s">
        <v>88</v>
      </c>
      <c r="C8" s="115" t="s">
        <v>88</v>
      </c>
    </row>
    <row r="9" spans="1:9" ht="18" x14ac:dyDescent="0.25">
      <c r="A9" s="139"/>
      <c r="B9" s="131" t="s">
        <v>469</v>
      </c>
      <c r="C9" s="131" t="s">
        <v>470</v>
      </c>
    </row>
    <row r="10" spans="1:9" x14ac:dyDescent="0.25">
      <c r="A10" s="35" t="s">
        <v>216</v>
      </c>
      <c r="B10" s="175" t="s">
        <v>107</v>
      </c>
      <c r="C10" s="140">
        <f>'Parameter Values'!F231</f>
        <v>0.107</v>
      </c>
    </row>
    <row r="11" spans="1:9" x14ac:dyDescent="0.25">
      <c r="A11" s="35" t="s">
        <v>217</v>
      </c>
      <c r="B11" s="175" t="s">
        <v>107</v>
      </c>
      <c r="C11" s="140">
        <f>'Parameter Values'!F232</f>
        <v>0.109</v>
      </c>
    </row>
    <row r="12" spans="1:9" x14ac:dyDescent="0.25">
      <c r="A12" s="35" t="s">
        <v>218</v>
      </c>
      <c r="B12" s="140">
        <f>'Parameter Values'!E233</f>
        <v>1.2E-2</v>
      </c>
      <c r="C12" s="140">
        <f>'Parameter Values'!F233</f>
        <v>0.107</v>
      </c>
    </row>
    <row r="13" spans="1:9" x14ac:dyDescent="0.25">
      <c r="A13" s="35" t="s">
        <v>219</v>
      </c>
      <c r="B13" s="175" t="s">
        <v>107</v>
      </c>
      <c r="C13" s="140">
        <f>'Parameter Values'!F234</f>
        <v>0.30299999999999999</v>
      </c>
    </row>
    <row r="14" spans="1:9" x14ac:dyDescent="0.25">
      <c r="A14" s="35" t="s">
        <v>220</v>
      </c>
      <c r="B14" s="175" t="s">
        <v>107</v>
      </c>
      <c r="C14" s="140">
        <f>'Parameter Values'!F235</f>
        <v>0.29899999999999999</v>
      </c>
    </row>
    <row r="15" spans="1:9" x14ac:dyDescent="0.25">
      <c r="A15" s="35" t="s">
        <v>221</v>
      </c>
      <c r="B15" s="288">
        <f>'Parameter Values'!E236</f>
        <v>3.5000000000000003E-2</v>
      </c>
      <c r="C15" s="288">
        <f>'Parameter Values'!F236</f>
        <v>0.30099999999999999</v>
      </c>
    </row>
    <row r="16" spans="1:9" x14ac:dyDescent="0.25">
      <c r="A16" s="35" t="s">
        <v>222</v>
      </c>
      <c r="B16" s="175" t="s">
        <v>107</v>
      </c>
      <c r="C16" s="140">
        <f>'Parameter Values'!F237</f>
        <v>0.124</v>
      </c>
    </row>
    <row r="17" spans="1:78" x14ac:dyDescent="0.25">
      <c r="A17" s="35" t="s">
        <v>223</v>
      </c>
      <c r="B17" s="175" t="s">
        <v>107</v>
      </c>
      <c r="C17" s="140">
        <f>'Parameter Values'!F238</f>
        <v>0.14000000000000001</v>
      </c>
    </row>
    <row r="18" spans="1:78" x14ac:dyDescent="0.25">
      <c r="A18" s="35" t="s">
        <v>224</v>
      </c>
      <c r="B18" s="140">
        <f>'Parameter Values'!E239</f>
        <v>1.4999999999999999E-2</v>
      </c>
      <c r="C18" s="140">
        <f>'Parameter Values'!F239</f>
        <v>0.129</v>
      </c>
    </row>
    <row r="19" spans="1:78" ht="30" x14ac:dyDescent="0.25">
      <c r="A19" s="115" t="s">
        <v>95</v>
      </c>
      <c r="B19" s="115" t="s">
        <v>94</v>
      </c>
      <c r="C19" s="115" t="s">
        <v>94</v>
      </c>
    </row>
    <row r="20" spans="1:78" ht="18" x14ac:dyDescent="0.25">
      <c r="A20" s="130" t="s">
        <v>99</v>
      </c>
      <c r="B20" s="131" t="s">
        <v>469</v>
      </c>
      <c r="C20" s="131" t="s">
        <v>470</v>
      </c>
    </row>
    <row r="21" spans="1:78" x14ac:dyDescent="0.25">
      <c r="A21" s="289" t="s">
        <v>100</v>
      </c>
      <c r="B21" s="237">
        <f>'Parameter Values'!C63</f>
        <v>749</v>
      </c>
      <c r="C21" s="237">
        <f>'Parameter Values'!D63</f>
        <v>28</v>
      </c>
    </row>
    <row r="22" spans="1:78" x14ac:dyDescent="0.25">
      <c r="A22" s="35" t="s">
        <v>101</v>
      </c>
      <c r="B22" s="132">
        <f>'Parameter Values'!C64</f>
        <v>102</v>
      </c>
      <c r="C22" s="132">
        <f>'Parameter Values'!D64</f>
        <v>26</v>
      </c>
    </row>
    <row r="23" spans="1:78" x14ac:dyDescent="0.25">
      <c r="A23" s="35" t="s">
        <v>102</v>
      </c>
      <c r="B23" s="132">
        <f>'Parameter Values'!C65</f>
        <v>102</v>
      </c>
      <c r="C23" s="132">
        <f>'Parameter Values'!D65</f>
        <v>26</v>
      </c>
    </row>
    <row r="24" spans="1:78" x14ac:dyDescent="0.25">
      <c r="A24" s="35" t="s">
        <v>103</v>
      </c>
      <c r="B24" s="132">
        <f>'Parameter Values'!C66</f>
        <v>102</v>
      </c>
      <c r="C24" s="132">
        <f>'Parameter Values'!D66</f>
        <v>26</v>
      </c>
    </row>
    <row r="25" spans="1:78" ht="18" x14ac:dyDescent="0.25">
      <c r="A25" s="130" t="s">
        <v>104</v>
      </c>
      <c r="B25" s="131" t="s">
        <v>469</v>
      </c>
      <c r="C25" s="131" t="s">
        <v>470</v>
      </c>
    </row>
    <row r="26" spans="1:78" x14ac:dyDescent="0.25">
      <c r="A26" s="289" t="s">
        <v>100</v>
      </c>
      <c r="B26" s="237">
        <f>'Parameter Values'!C68</f>
        <v>2202</v>
      </c>
      <c r="C26" s="237">
        <f>'Parameter Values'!D68</f>
        <v>280</v>
      </c>
    </row>
    <row r="27" spans="1:78" x14ac:dyDescent="0.25">
      <c r="A27" s="35" t="s">
        <v>101</v>
      </c>
      <c r="B27" s="237">
        <f>'Parameter Values'!C69</f>
        <v>727</v>
      </c>
      <c r="C27" s="237">
        <f>'Parameter Values'!D69</f>
        <v>218</v>
      </c>
    </row>
    <row r="28" spans="1:78" x14ac:dyDescent="0.25">
      <c r="A28" s="35" t="s">
        <v>102</v>
      </c>
      <c r="B28" s="132">
        <f>'Parameter Values'!C70</f>
        <v>727</v>
      </c>
      <c r="C28" s="132">
        <f>'Parameter Values'!D70</f>
        <v>218</v>
      </c>
      <c r="G28" s="311"/>
    </row>
    <row r="29" spans="1:78" x14ac:dyDescent="0.25">
      <c r="A29" s="35" t="s">
        <v>103</v>
      </c>
      <c r="B29" s="132">
        <f>'Parameter Values'!C71</f>
        <v>727</v>
      </c>
      <c r="C29" s="132">
        <f>'Parameter Values'!D71</f>
        <v>218</v>
      </c>
    </row>
    <row r="30" spans="1:78" x14ac:dyDescent="0.25">
      <c r="A30" s="5" t="s">
        <v>30</v>
      </c>
    </row>
    <row r="31" spans="1:78" ht="15.75" thickBot="1" x14ac:dyDescent="0.3">
      <c r="A31" s="96" t="s">
        <v>471</v>
      </c>
      <c r="B31" s="395" t="s">
        <v>472</v>
      </c>
      <c r="C31" s="134"/>
      <c r="D31" s="134"/>
      <c r="E31" s="134"/>
      <c r="F31" s="134"/>
      <c r="G31" s="257" t="s">
        <v>473</v>
      </c>
    </row>
    <row r="32" spans="1:78" ht="18" x14ac:dyDescent="0.35">
      <c r="A32" s="106" t="s">
        <v>239</v>
      </c>
      <c r="B32" s="109" t="s">
        <v>474</v>
      </c>
      <c r="C32" s="109" t="s">
        <v>475</v>
      </c>
      <c r="D32" s="109" t="s">
        <v>476</v>
      </c>
      <c r="E32" s="109" t="s">
        <v>477</v>
      </c>
      <c r="F32" s="109"/>
      <c r="G32" s="109" t="s">
        <v>478</v>
      </c>
      <c r="H32" s="107" t="s">
        <v>479</v>
      </c>
      <c r="I32" s="109" t="s">
        <v>480</v>
      </c>
      <c r="J32" s="107" t="s">
        <v>481</v>
      </c>
      <c r="K32" s="109" t="s">
        <v>482</v>
      </c>
      <c r="L32" s="107" t="s">
        <v>483</v>
      </c>
      <c r="M32" s="109" t="s">
        <v>484</v>
      </c>
      <c r="N32" s="107" t="s">
        <v>485</v>
      </c>
      <c r="O32" s="110" t="s">
        <v>486</v>
      </c>
      <c r="P32" s="111" t="s">
        <v>487</v>
      </c>
      <c r="Q32" s="111" t="s">
        <v>488</v>
      </c>
      <c r="R32" s="111" t="s">
        <v>489</v>
      </c>
      <c r="S32" s="112" t="s">
        <v>490</v>
      </c>
      <c r="T32" s="107" t="s">
        <v>491</v>
      </c>
      <c r="AA32" s="10" t="s">
        <v>238</v>
      </c>
      <c r="AB32" s="258"/>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2"/>
    </row>
    <row r="33" spans="1:78" x14ac:dyDescent="0.25">
      <c r="A33" s="6">
        <f>'Project Information'!$B$9</f>
        <v>2028</v>
      </c>
      <c r="B33" s="135">
        <f>('User Volumes'!K10*$B$15)+(('User Volumes'!B10*'User Volumes'!$T$46/$AC$36)*$AC$46)+(('User Volumes'!C10*'User Volumes'!$T$46/$AC$36)*$AC$45)</f>
        <v>5139198.7695561359</v>
      </c>
      <c r="C33" s="135">
        <v>0</v>
      </c>
      <c r="D33" s="135">
        <f>('User Volumes'!K10*$C$15)+(('User Volumes'!B10*'User Volumes'!$T$46/$AC$36)*$AC$52)+(('User Volumes'!C10*'User Volumes'!$T$46/$AC$36)*$AC$51)</f>
        <v>1489268.8662703312</v>
      </c>
      <c r="E33" s="136">
        <v>0</v>
      </c>
      <c r="F33" s="6"/>
      <c r="G33" s="262">
        <f>'User Volumes'!E10*$AD$60</f>
        <v>48.517842565390644</v>
      </c>
      <c r="H33" s="262">
        <f>'User Volumes'!D10*'Emissions Reduction'!$AD$60</f>
        <v>138.62240732968758</v>
      </c>
      <c r="I33" s="27">
        <v>0</v>
      </c>
      <c r="J33" s="27">
        <v>0</v>
      </c>
      <c r="K33" s="27">
        <v>0</v>
      </c>
      <c r="L33" s="27">
        <v>0</v>
      </c>
      <c r="M33" s="262">
        <f>'User Volumes'!E10*$AD$61</f>
        <v>4794.5548223203859</v>
      </c>
      <c r="N33" s="262">
        <f>'User Volumes'!D10*$AD$61</f>
        <v>13698.728063772533</v>
      </c>
      <c r="O33" s="19">
        <f>IFERROR(VLOOKUP($A33,'Parameter Values'!$A$78:$E$107,2,FALSE),'Parameter Values'!B$107)</f>
        <v>21300</v>
      </c>
      <c r="P33" s="19">
        <f>IFERROR(VLOOKUP($A33,'Parameter Values'!$A$78:$E$107,3,FALSE),'Parameter Values'!C$107)</f>
        <v>58700</v>
      </c>
      <c r="Q33" s="19">
        <f>IFERROR(VLOOKUP($A33,'Parameter Values'!$A$78:$E$107,4,FALSE),'Parameter Values'!D$107)</f>
        <v>1030600</v>
      </c>
      <c r="R33" s="19">
        <f>IFERROR(VLOOKUP($A33,'Parameter Values'!$A$78:$E$107,5,FALSE),'Parameter Values'!E$107)</f>
        <v>249.64632144314442</v>
      </c>
      <c r="S33" s="19">
        <f>(B33-C33)+((G33-H33)*O33)+((I33-J33)*P33)+((K33-L33)*Q33)</f>
        <v>3219971.5400766116</v>
      </c>
      <c r="T33" s="18">
        <f>(D33-E33)+((M33-N33)*R33)</f>
        <v>-733625.22895067651</v>
      </c>
      <c r="AA33" s="13"/>
      <c r="AB33" s="190"/>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s="14"/>
    </row>
    <row r="34" spans="1:78" x14ac:dyDescent="0.25">
      <c r="A34" s="1">
        <f>IF(A33&lt;'Project Information'!B$11,A33+1,"")</f>
        <v>2029</v>
      </c>
      <c r="B34" s="135">
        <f>('User Volumes'!K11*$B$15)+(('User Volumes'!B11*'User Volumes'!$T$46/$AC$36)*$AC$46)+(('User Volumes'!C11*'User Volumes'!$T$46/$AC$36)*$AC$45)</f>
        <v>5190590.7572516967</v>
      </c>
      <c r="C34" s="135">
        <v>0</v>
      </c>
      <c r="D34" s="135">
        <f>('User Volumes'!K11*$C$15)+(('User Volumes'!B11*'User Volumes'!$T$46/$AC$36)*$AC$52)+(('User Volumes'!C11*'User Volumes'!$T$46/$AC$36)*$AC$51)</f>
        <v>1504161.5549330346</v>
      </c>
      <c r="E34" s="136">
        <v>0</v>
      </c>
      <c r="F34" s="1"/>
      <c r="G34" s="262">
        <f>'User Volumes'!E11*$AD$60</f>
        <v>49.003020991044551</v>
      </c>
      <c r="H34" s="262">
        <f>'User Volumes'!D11*'Emissions Reduction'!$AD$60</f>
        <v>140.00863140298443</v>
      </c>
      <c r="I34" s="27">
        <v>0</v>
      </c>
      <c r="J34" s="27">
        <v>0</v>
      </c>
      <c r="K34" s="27">
        <v>0</v>
      </c>
      <c r="L34" s="27">
        <v>0</v>
      </c>
      <c r="M34" s="262">
        <f>'User Volumes'!E11*$AD$61</f>
        <v>4842.5003705435893</v>
      </c>
      <c r="N34" s="262">
        <f>'User Volumes'!D11*$AD$61</f>
        <v>13835.715344410257</v>
      </c>
      <c r="O34" s="19">
        <f>IFERROR(VLOOKUP($A34,'Parameter Values'!$A$78:$E$107,2,FALSE),'Parameter Values'!B$107)</f>
        <v>21700</v>
      </c>
      <c r="P34" s="19">
        <f>IFERROR(VLOOKUP($A34,'Parameter Values'!$A$78:$E$107,3,FALSE),'Parameter Values'!C$107)</f>
        <v>60100</v>
      </c>
      <c r="Q34" s="19">
        <f>IFERROR(VLOOKUP($A34,'Parameter Values'!$A$78:$E$107,4,FALSE),'Parameter Values'!D$107)</f>
        <v>1049600</v>
      </c>
      <c r="R34" s="19">
        <f>IFERROR(VLOOKUP($A34,'Parameter Values'!$A$78:$E$107,5,FALSE),'Parameter Values'!E$107)</f>
        <v>253.00479213520464</v>
      </c>
      <c r="S34" s="19">
        <f t="shared" ref="S34:S62" si="0">(B34-C34)+((G34-H34)*O34)+((I34-J34)*P34)+((K34-L34)*Q34)</f>
        <v>3215769.0113126012</v>
      </c>
      <c r="T34" s="18">
        <f t="shared" ref="T34:T62" si="1">(D34-E34)+((M34-N34)*R34)</f>
        <v>-771164.93015731103</v>
      </c>
      <c r="AA34" s="13"/>
      <c r="AB34" s="378" t="s">
        <v>492</v>
      </c>
      <c r="AC34" s="378"/>
      <c r="AD34" s="378"/>
      <c r="AE34"/>
      <c r="AF34" s="310"/>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s="14"/>
    </row>
    <row r="35" spans="1:78" x14ac:dyDescent="0.25">
      <c r="A35" s="1">
        <f>IF(A34&lt;'Project Information'!B$11,A34+1,"")</f>
        <v>2030</v>
      </c>
      <c r="B35" s="135">
        <f>('User Volumes'!K12*$B$15)+(('User Volumes'!B12*'User Volumes'!$T$46/$AC$36)*$AC$46)+(('User Volumes'!C12*'User Volumes'!$T$46/$AC$36)*$AC$45)</f>
        <v>5242496.6648242129</v>
      </c>
      <c r="C35" s="135">
        <v>0</v>
      </c>
      <c r="D35" s="135">
        <f>('User Volumes'!K12*$C$15)+(('User Volumes'!B12*'User Volumes'!$T$46/$AC$36)*$AC$52)+(('User Volumes'!C12*'User Volumes'!$T$46/$AC$36)*$AC$51)</f>
        <v>1519203.1704823647</v>
      </c>
      <c r="E35" s="136">
        <v>0</v>
      </c>
      <c r="F35" s="1"/>
      <c r="G35" s="262">
        <f>'User Volumes'!E12*$AD$60</f>
        <v>49.493051200954994</v>
      </c>
      <c r="H35" s="262">
        <f>'User Volumes'!D12*'Emissions Reduction'!$AD$60</f>
        <v>141.40871771701427</v>
      </c>
      <c r="I35" s="27">
        <v>0</v>
      </c>
      <c r="J35" s="27">
        <v>0</v>
      </c>
      <c r="K35" s="27">
        <v>0</v>
      </c>
      <c r="L35" s="27">
        <v>0</v>
      </c>
      <c r="M35" s="262">
        <f>'User Volumes'!E12*$AD$61</f>
        <v>4890.9253742490255</v>
      </c>
      <c r="N35" s="262">
        <f>'User Volumes'!D12*$AD$61</f>
        <v>13974.072497854359</v>
      </c>
      <c r="O35" s="19">
        <f>IFERROR(VLOOKUP($A35,'Parameter Values'!$A$78:$E$107,2,FALSE),'Parameter Values'!B$107)</f>
        <v>22000</v>
      </c>
      <c r="P35" s="19">
        <f>IFERROR(VLOOKUP($A35,'Parameter Values'!$A$78:$E$107,3,FALSE),'Parameter Values'!C$107)</f>
        <v>61500</v>
      </c>
      <c r="Q35" s="19">
        <f>IFERROR(VLOOKUP($A35,'Parameter Values'!$A$78:$E$107,4,FALSE),'Parameter Values'!D$107)</f>
        <v>1069000</v>
      </c>
      <c r="R35" s="19">
        <f>IFERROR(VLOOKUP($A35,'Parameter Values'!$A$78:$E$107,5,FALSE),'Parameter Values'!E$107)</f>
        <v>257.48275305795164</v>
      </c>
      <c r="S35" s="19">
        <f t="shared" si="0"/>
        <v>3220352.0014709085</v>
      </c>
      <c r="T35" s="18">
        <f t="shared" si="1"/>
        <v>-819550.55733395112</v>
      </c>
      <c r="AA35" s="13"/>
      <c r="AB35" s="190"/>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s="14"/>
    </row>
    <row r="36" spans="1:78" x14ac:dyDescent="0.25">
      <c r="A36" s="1">
        <f>IF(A35&lt;'Project Information'!B$11,A35+1,"")</f>
        <v>2031</v>
      </c>
      <c r="B36" s="135">
        <f>('User Volumes'!K13*$B$15)+(('User Volumes'!B13*'User Volumes'!$T$46/$AC$36)*$AC$46)+(('User Volumes'!C13*'User Volumes'!$T$46/$AC$36)*$AC$45)</f>
        <v>5294921.6314724553</v>
      </c>
      <c r="C36" s="135">
        <v>0</v>
      </c>
      <c r="D36" s="135">
        <f>('User Volumes'!K13*$C$15)+(('User Volumes'!B13*'User Volumes'!$T$46/$AC$36)*$AC$52)+(('User Volumes'!C13*'User Volumes'!$T$46/$AC$36)*$AC$51)</f>
        <v>1534395.2021871887</v>
      </c>
      <c r="E36" s="136">
        <v>0</v>
      </c>
      <c r="F36" s="1"/>
      <c r="G36" s="262">
        <f>'User Volumes'!E13*$AD$60</f>
        <v>49.98798171296454</v>
      </c>
      <c r="H36" s="262">
        <f>'User Volumes'!D13*'Emissions Reduction'!$AD$60</f>
        <v>142.8228048941844</v>
      </c>
      <c r="I36" s="27">
        <v>0</v>
      </c>
      <c r="J36" s="27">
        <v>0</v>
      </c>
      <c r="K36" s="27">
        <v>0</v>
      </c>
      <c r="L36" s="27">
        <v>0</v>
      </c>
      <c r="M36" s="262">
        <f>'User Volumes'!E13*$AD$61</f>
        <v>4939.8346279915149</v>
      </c>
      <c r="N36" s="262">
        <f>'User Volumes'!D13*$AD$61</f>
        <v>14113.813222832901</v>
      </c>
      <c r="O36" s="19">
        <f>IFERROR(VLOOKUP($A36,'Parameter Values'!$A$78:$E$107,2,FALSE),'Parameter Values'!B$107)</f>
        <v>22000</v>
      </c>
      <c r="P36" s="19">
        <f>IFERROR(VLOOKUP($A36,'Parameter Values'!$A$78:$E$107,3,FALSE),'Parameter Values'!C$107)</f>
        <v>61500</v>
      </c>
      <c r="Q36" s="19">
        <f>IFERROR(VLOOKUP($A36,'Parameter Values'!$A$78:$E$107,4,FALSE),'Parameter Values'!D$107)</f>
        <v>1069000</v>
      </c>
      <c r="R36" s="19">
        <f>IFERROR(VLOOKUP($A36,'Parameter Values'!$A$78:$E$107,5,FALSE),'Parameter Values'!E$107)</f>
        <v>261.96071398069864</v>
      </c>
      <c r="S36" s="19">
        <f t="shared" si="0"/>
        <v>3252555.5214856183</v>
      </c>
      <c r="T36" s="18">
        <f t="shared" si="1"/>
        <v>-868826.78056110744</v>
      </c>
      <c r="AA36" s="13"/>
      <c r="AB36" s="181" t="s">
        <v>266</v>
      </c>
      <c r="AC36" s="294">
        <v>5000</v>
      </c>
      <c r="AD36" s="181" t="s">
        <v>266</v>
      </c>
      <c r="AE36"/>
      <c r="AF36" s="190"/>
      <c r="AG36" s="190"/>
      <c r="AH36" s="190"/>
      <c r="AI36"/>
      <c r="AJ36"/>
      <c r="AK36"/>
      <c r="AL36"/>
      <c r="AM36"/>
      <c r="AN36"/>
      <c r="AO36"/>
      <c r="AP36"/>
      <c r="AQ36"/>
      <c r="AR36"/>
      <c r="AS36"/>
      <c r="AT36"/>
      <c r="AV36"/>
      <c r="AW36"/>
      <c r="AX36"/>
      <c r="AY36"/>
      <c r="AZ36"/>
      <c r="BA36"/>
      <c r="BB36"/>
      <c r="BC36"/>
      <c r="BD36"/>
      <c r="BE36"/>
      <c r="BF36"/>
      <c r="BG36"/>
      <c r="BH36"/>
      <c r="BI36"/>
      <c r="BJ36"/>
      <c r="BK36"/>
      <c r="BL36"/>
      <c r="BM36"/>
      <c r="BN36"/>
      <c r="BO36"/>
      <c r="BP36"/>
      <c r="BQ36"/>
      <c r="BR36"/>
      <c r="BS36"/>
      <c r="BT36"/>
      <c r="BU36"/>
      <c r="BV36"/>
      <c r="BW36"/>
      <c r="BX36"/>
      <c r="BY36"/>
      <c r="BZ36" s="14"/>
    </row>
    <row r="37" spans="1:78" x14ac:dyDescent="0.25">
      <c r="A37" s="1">
        <f>IF(A36&lt;'Project Information'!B$11,A36+1,"")</f>
        <v>2032</v>
      </c>
      <c r="B37" s="135">
        <f>('User Volumes'!K14*$B$15)+(('User Volumes'!B14*'User Volumes'!$T$46/$AC$36)*$AC$46)+(('User Volumes'!C14*'User Volumes'!$T$46/$AC$36)*$AC$45)</f>
        <v>5347870.8477871809</v>
      </c>
      <c r="C37" s="135">
        <v>0</v>
      </c>
      <c r="D37" s="135">
        <f>('User Volumes'!K14*$C$15)+(('User Volumes'!B14*'User Volumes'!$T$46/$AC$36)*$AC$52)+(('User Volumes'!C14*'User Volumes'!$T$46/$AC$36)*$AC$51)</f>
        <v>1549739.1542090604</v>
      </c>
      <c r="E37" s="136">
        <v>0</v>
      </c>
      <c r="F37" s="1"/>
      <c r="G37" s="262">
        <f>'User Volumes'!E14*$AD$60</f>
        <v>50.487861530094193</v>
      </c>
      <c r="H37" s="262">
        <f>'User Volumes'!D14*'Emissions Reduction'!$AD$60</f>
        <v>144.25103294312626</v>
      </c>
      <c r="I37" s="27">
        <v>0</v>
      </c>
      <c r="J37" s="27">
        <v>0</v>
      </c>
      <c r="K37" s="27">
        <v>0</v>
      </c>
      <c r="L37" s="27">
        <v>0</v>
      </c>
      <c r="M37" s="262">
        <f>'User Volumes'!E14*$AD$61</f>
        <v>4989.232974271431</v>
      </c>
      <c r="N37" s="262">
        <f>'User Volumes'!D14*$AD$61</f>
        <v>14254.951355061232</v>
      </c>
      <c r="O37" s="19">
        <f>IFERROR(VLOOKUP($A37,'Parameter Values'!$A$78:$E$107,2,FALSE),'Parameter Values'!B$107)</f>
        <v>22000</v>
      </c>
      <c r="P37" s="19">
        <f>IFERROR(VLOOKUP($A37,'Parameter Values'!$A$78:$E$107,3,FALSE),'Parameter Values'!C$107)</f>
        <v>61500</v>
      </c>
      <c r="Q37" s="19">
        <f>IFERROR(VLOOKUP($A37,'Parameter Values'!$A$78:$E$107,4,FALSE),'Parameter Values'!D$107)</f>
        <v>1069000</v>
      </c>
      <c r="R37" s="19">
        <f>IFERROR(VLOOKUP($A37,'Parameter Values'!$A$78:$E$107,5,FALSE),'Parameter Values'!E$107)</f>
        <v>265.31918467275887</v>
      </c>
      <c r="S37" s="19">
        <f t="shared" si="0"/>
        <v>3285081.0767004751</v>
      </c>
      <c r="T37" s="18">
        <f t="shared" si="1"/>
        <v>-908633.69198948494</v>
      </c>
      <c r="AA37" s="13"/>
      <c r="AB37" s="181"/>
      <c r="AC37" s="291"/>
      <c r="AD37" s="181"/>
      <c r="AE37"/>
      <c r="AF37" s="190"/>
      <c r="AG37" s="190"/>
      <c r="AH37" s="190"/>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s="14"/>
    </row>
    <row r="38" spans="1:78" x14ac:dyDescent="0.25">
      <c r="A38" s="1">
        <f>IF(A37&lt;'Project Information'!B$11,A37+1,"")</f>
        <v>2033</v>
      </c>
      <c r="B38" s="135">
        <f>('User Volumes'!K15*$B$15)+(('User Volumes'!B15*'User Volumes'!$T$46/$AC$36)*$AC$46)+(('User Volumes'!C15*'User Volumes'!$T$46/$AC$36)*$AC$45)</f>
        <v>5401349.5562650524</v>
      </c>
      <c r="C38" s="135">
        <v>0</v>
      </c>
      <c r="D38" s="135">
        <f>('User Volumes'!K15*$C$15)+(('User Volumes'!B15*'User Volumes'!$T$46/$AC$36)*$AC$52)+(('User Volumes'!C15*'User Volumes'!$T$46/$AC$36)*$AC$51)</f>
        <v>1565236.5457511512</v>
      </c>
      <c r="E38" s="136">
        <v>0</v>
      </c>
      <c r="F38" s="1"/>
      <c r="G38" s="262">
        <f>'User Volumes'!E15*$AD$60</f>
        <v>50.992740145395125</v>
      </c>
      <c r="H38" s="262">
        <f>'User Volumes'!D15*'Emissions Reduction'!$AD$60</f>
        <v>145.69354327255752</v>
      </c>
      <c r="I38" s="27">
        <v>0</v>
      </c>
      <c r="J38" s="27">
        <v>0</v>
      </c>
      <c r="K38" s="27">
        <v>0</v>
      </c>
      <c r="L38" s="27">
        <v>0</v>
      </c>
      <c r="M38" s="262">
        <f>'User Volumes'!E15*$AD$61</f>
        <v>5039.1253040141446</v>
      </c>
      <c r="N38" s="262">
        <f>'User Volumes'!D15*$AD$61</f>
        <v>14397.500868611844</v>
      </c>
      <c r="O38" s="19">
        <f>IFERROR(VLOOKUP($A38,'Parameter Values'!$A$78:$E$107,2,FALSE),'Parameter Values'!B$107)</f>
        <v>22000</v>
      </c>
      <c r="P38" s="19">
        <f>IFERROR(VLOOKUP($A38,'Parameter Values'!$A$78:$E$107,3,FALSE),'Parameter Values'!C$107)</f>
        <v>61500</v>
      </c>
      <c r="Q38" s="19">
        <f>IFERROR(VLOOKUP($A38,'Parameter Values'!$A$78:$E$107,4,FALSE),'Parameter Values'!D$107)</f>
        <v>1069000</v>
      </c>
      <c r="R38" s="19">
        <f>IFERROR(VLOOKUP($A38,'Parameter Values'!$A$78:$E$107,5,FALSE),'Parameter Values'!E$107)</f>
        <v>269.79714559550587</v>
      </c>
      <c r="S38" s="19">
        <f t="shared" si="0"/>
        <v>3317931.8874674793</v>
      </c>
      <c r="T38" s="18">
        <f t="shared" si="1"/>
        <v>-959626.46898803907</v>
      </c>
      <c r="AA38" s="13"/>
      <c r="AB38" s="181" t="s">
        <v>493</v>
      </c>
      <c r="AC38" s="291">
        <v>2</v>
      </c>
      <c r="AD38" s="181" t="s">
        <v>494</v>
      </c>
      <c r="AE38" t="s">
        <v>495</v>
      </c>
      <c r="AF38" s="190"/>
      <c r="AG38" s="190"/>
      <c r="AH38" s="190"/>
      <c r="AI38"/>
      <c r="AJ38"/>
      <c r="AK38"/>
      <c r="AL38"/>
      <c r="AM38"/>
      <c r="AN38"/>
      <c r="AO38"/>
      <c r="AP38"/>
      <c r="AQ38"/>
      <c r="AR38"/>
      <c r="AS38"/>
      <c r="AT38"/>
      <c r="AU38"/>
      <c r="AV38"/>
      <c r="AW38"/>
      <c r="AX38"/>
      <c r="AY38"/>
      <c r="AZ38"/>
      <c r="BA38"/>
      <c r="BB38"/>
      <c r="BC38"/>
      <c r="BD38"/>
      <c r="BE38"/>
      <c r="BF38"/>
      <c r="BG38"/>
      <c r="BH38"/>
      <c r="BI38"/>
      <c r="BJ38"/>
      <c r="BK38"/>
      <c r="BL38"/>
      <c r="BM38" s="380"/>
      <c r="BN38" s="380"/>
      <c r="BO38" s="380"/>
      <c r="BP38" s="380"/>
      <c r="BQ38" s="380"/>
      <c r="BR38"/>
      <c r="BS38"/>
      <c r="BT38"/>
      <c r="BU38"/>
      <c r="BV38"/>
      <c r="BW38"/>
      <c r="BX38"/>
      <c r="BY38"/>
      <c r="BZ38" s="14"/>
    </row>
    <row r="39" spans="1:78" x14ac:dyDescent="0.25">
      <c r="A39" s="1">
        <f>IF(A38&lt;'Project Information'!B$11,A38+1,"")</f>
        <v>2034</v>
      </c>
      <c r="B39" s="135">
        <f>('User Volumes'!K16*$B$15)+(('User Volumes'!B16*'User Volumes'!$T$46/$AC$36)*$AC$46)+(('User Volumes'!C16*'User Volumes'!$T$46/$AC$36)*$AC$45)</f>
        <v>5455363.0518277027</v>
      </c>
      <c r="C39" s="135">
        <v>0</v>
      </c>
      <c r="D39" s="135">
        <f>('User Volumes'!K16*$C$15)+(('User Volumes'!B16*'User Volumes'!$T$46/$AC$36)*$AC$52)+(('User Volumes'!C16*'User Volumes'!$T$46/$AC$36)*$AC$51)</f>
        <v>1580888.9112086627</v>
      </c>
      <c r="E39" s="136">
        <v>0</v>
      </c>
      <c r="F39" s="1"/>
      <c r="G39" s="262">
        <f>'User Volumes'!E16*$AD$60</f>
        <v>51.502667546849089</v>
      </c>
      <c r="H39" s="262">
        <f>'User Volumes'!D16*'Emissions Reduction'!$AD$60</f>
        <v>147.15047870528309</v>
      </c>
      <c r="I39" s="27">
        <v>0</v>
      </c>
      <c r="J39" s="27">
        <v>0</v>
      </c>
      <c r="K39" s="27">
        <v>0</v>
      </c>
      <c r="L39" s="27">
        <v>0</v>
      </c>
      <c r="M39" s="262">
        <f>'User Volumes'!E16*$AD$61</f>
        <v>5089.5165570542867</v>
      </c>
      <c r="N39" s="262">
        <f>'User Volumes'!D16*$AD$61</f>
        <v>14541.475877297962</v>
      </c>
      <c r="O39" s="19">
        <f>IFERROR(VLOOKUP($A39,'Parameter Values'!$A$78:$E$107,2,FALSE),'Parameter Values'!B$107)</f>
        <v>22000</v>
      </c>
      <c r="P39" s="19">
        <f>IFERROR(VLOOKUP($A39,'Parameter Values'!$A$78:$E$107,3,FALSE),'Parameter Values'!C$107)</f>
        <v>61500</v>
      </c>
      <c r="Q39" s="19">
        <f>IFERROR(VLOOKUP($A39,'Parameter Values'!$A$78:$E$107,4,FALSE),'Parameter Values'!D$107)</f>
        <v>1069000</v>
      </c>
      <c r="R39" s="19">
        <f>IFERROR(VLOOKUP($A39,'Parameter Values'!$A$78:$E$107,5,FALSE),'Parameter Values'!E$107)</f>
        <v>274.27510651825281</v>
      </c>
      <c r="S39" s="19">
        <f t="shared" si="0"/>
        <v>3351111.2063421546</v>
      </c>
      <c r="T39" s="18">
        <f t="shared" si="1"/>
        <v>-1011548.2381573641</v>
      </c>
      <c r="AA39" s="13"/>
      <c r="AB39" s="181" t="s">
        <v>496</v>
      </c>
      <c r="AC39" s="291">
        <f>'User Volumes'!W54/25</f>
        <v>10.199999999999999</v>
      </c>
      <c r="AD39" s="181" t="s">
        <v>494</v>
      </c>
      <c r="AE39" t="s">
        <v>497</v>
      </c>
      <c r="AF39" s="190"/>
      <c r="AG39" s="190"/>
      <c r="AH39" s="190"/>
      <c r="AI39"/>
      <c r="AJ39"/>
      <c r="AK39"/>
      <c r="AL39"/>
      <c r="AM39"/>
      <c r="AN39"/>
      <c r="AO39"/>
      <c r="AP39"/>
      <c r="AQ39"/>
      <c r="AR39"/>
      <c r="AS39"/>
      <c r="AT39" s="312"/>
      <c r="AU39"/>
      <c r="AV39" s="314"/>
      <c r="AW39"/>
      <c r="AX39" s="263"/>
      <c r="AY39" s="263"/>
      <c r="AZ39"/>
      <c r="BA39" s="312"/>
      <c r="BB39"/>
      <c r="BC39" s="314"/>
      <c r="BD39"/>
      <c r="BE39" s="314"/>
      <c r="BF39" s="263"/>
      <c r="BG39"/>
      <c r="BH39"/>
      <c r="BI39" s="312"/>
      <c r="BJ39"/>
      <c r="BK39"/>
      <c r="BL39"/>
      <c r="BM39" s="381"/>
      <c r="BN39" s="380"/>
      <c r="BO39" s="380"/>
      <c r="BP39" s="380"/>
      <c r="BQ39" s="380"/>
      <c r="BR39"/>
      <c r="BS39"/>
      <c r="BT39"/>
      <c r="BU39"/>
      <c r="BV39"/>
      <c r="BW39"/>
      <c r="BX39"/>
      <c r="BY39"/>
      <c r="BZ39" s="14"/>
    </row>
    <row r="40" spans="1:78" x14ac:dyDescent="0.25">
      <c r="A40" s="1">
        <f>IF(A39&lt;'Project Information'!B$11,A39+1,"")</f>
        <v>2035</v>
      </c>
      <c r="B40" s="135">
        <f>('User Volumes'!K17*$B$15)+(('User Volumes'!B17*'User Volumes'!$T$46/$AC$36)*$AC$46)+(('User Volumes'!C17*'User Volumes'!$T$46/$AC$36)*$AC$45)</f>
        <v>5509916.6823459798</v>
      </c>
      <c r="C40" s="135">
        <v>0</v>
      </c>
      <c r="D40" s="135">
        <f>('User Volumes'!K17*$C$15)+(('User Volumes'!B17*'User Volumes'!$T$46/$AC$36)*$AC$52)+(('User Volumes'!C17*'User Volumes'!$T$46/$AC$36)*$AC$51)</f>
        <v>1596697.8003207492</v>
      </c>
      <c r="E40" s="136">
        <v>0</v>
      </c>
      <c r="F40" s="1"/>
      <c r="G40" s="262">
        <f>'User Volumes'!E17*$AD$60</f>
        <v>52.017694222317573</v>
      </c>
      <c r="H40" s="262">
        <f>'User Volumes'!D17*'Emissions Reduction'!$AD$60</f>
        <v>148.62198349233591</v>
      </c>
      <c r="I40" s="27">
        <v>0</v>
      </c>
      <c r="J40" s="27">
        <v>0</v>
      </c>
      <c r="K40" s="27">
        <v>0</v>
      </c>
      <c r="L40" s="27">
        <v>0</v>
      </c>
      <c r="M40" s="262">
        <f>'User Volumes'!E17*$AD$61</f>
        <v>5140.41172262483</v>
      </c>
      <c r="N40" s="262">
        <f>'User Volumes'!D17*$AD$61</f>
        <v>14686.890636070941</v>
      </c>
      <c r="O40" s="19">
        <f>IFERROR(VLOOKUP($A40,'Parameter Values'!$A$78:$E$107,2,FALSE),'Parameter Values'!B$107)</f>
        <v>22000</v>
      </c>
      <c r="P40" s="19">
        <f>IFERROR(VLOOKUP($A40,'Parameter Values'!$A$78:$E$107,3,FALSE),'Parameter Values'!C$107)</f>
        <v>61500</v>
      </c>
      <c r="Q40" s="19">
        <f>IFERROR(VLOOKUP($A40,'Parameter Values'!$A$78:$E$107,4,FALSE),'Parameter Values'!D$107)</f>
        <v>1069000</v>
      </c>
      <c r="R40" s="19">
        <f>IFERROR(VLOOKUP($A40,'Parameter Values'!$A$78:$E$107,5,FALSE),'Parameter Values'!E$107)</f>
        <v>277.63357721031309</v>
      </c>
      <c r="S40" s="19">
        <f t="shared" si="0"/>
        <v>3384622.3184055765</v>
      </c>
      <c r="T40" s="18">
        <f t="shared" si="1"/>
        <v>-1053725.2901821174</v>
      </c>
      <c r="AA40" s="13"/>
      <c r="AB40" s="181" t="s">
        <v>498</v>
      </c>
      <c r="AC40" s="291">
        <f>'User Volumes'!W55/25</f>
        <v>8.56</v>
      </c>
      <c r="AD40" s="181" t="s">
        <v>494</v>
      </c>
      <c r="AE40" t="s">
        <v>497</v>
      </c>
      <c r="AF40" s="190"/>
      <c r="AG40" s="190"/>
      <c r="AH40" s="190"/>
      <c r="AI40"/>
      <c r="AJ40"/>
      <c r="AK40"/>
      <c r="AL40"/>
      <c r="AM40"/>
      <c r="AN40"/>
      <c r="AO40"/>
      <c r="AP40"/>
      <c r="AQ40"/>
      <c r="AR40"/>
      <c r="AS40"/>
      <c r="AT40" s="312"/>
      <c r="AU40"/>
      <c r="AV40" s="314"/>
      <c r="AW40"/>
      <c r="AX40" s="263"/>
      <c r="AY40" s="263"/>
      <c r="AZ40"/>
      <c r="BA40" s="312"/>
      <c r="BB40"/>
      <c r="BC40" s="314"/>
      <c r="BD40"/>
      <c r="BE40" s="314"/>
      <c r="BF40" s="263"/>
      <c r="BG40"/>
      <c r="BH40"/>
      <c r="BI40" s="312"/>
      <c r="BJ40"/>
      <c r="BK40"/>
      <c r="BL40"/>
      <c r="BM40" s="382"/>
      <c r="BN40" s="380"/>
      <c r="BO40" s="380"/>
      <c r="BP40" s="380"/>
      <c r="BQ40" s="380"/>
      <c r="BR40"/>
      <c r="BS40"/>
      <c r="BT40"/>
      <c r="BU40"/>
      <c r="BV40"/>
      <c r="BW40"/>
      <c r="BX40"/>
      <c r="BY40"/>
      <c r="BZ40" s="14"/>
    </row>
    <row r="41" spans="1:78" x14ac:dyDescent="0.25">
      <c r="A41" s="1">
        <f>IF(A40&lt;'Project Information'!B$11,A40+1,"")</f>
        <v>2036</v>
      </c>
      <c r="B41" s="135">
        <f>('User Volumes'!K18*$B$15)+(('User Volumes'!B18*'User Volumes'!$T$46/$AC$36)*$AC$46)+(('User Volumes'!C18*'User Volumes'!$T$46/$AC$36)*$AC$45)</f>
        <v>5565015.8491694396</v>
      </c>
      <c r="C41" s="135">
        <v>0</v>
      </c>
      <c r="D41" s="135">
        <f>('User Volumes'!K18*$C$15)+(('User Volumes'!B18*'User Volumes'!$T$46/$AC$36)*$AC$52)+(('User Volumes'!C18*'User Volumes'!$T$46/$AC$36)*$AC$51)</f>
        <v>1612664.7783239565</v>
      </c>
      <c r="E41" s="136">
        <v>0</v>
      </c>
      <c r="F41" s="1"/>
      <c r="G41" s="262">
        <f>'User Volumes'!E18*$AD$60</f>
        <v>52.537871164540746</v>
      </c>
      <c r="H41" s="262">
        <f>'User Volumes'!D18*'Emissions Reduction'!$AD$60</f>
        <v>150.10820332725928</v>
      </c>
      <c r="I41" s="27">
        <v>0</v>
      </c>
      <c r="J41" s="27">
        <v>0</v>
      </c>
      <c r="K41" s="27">
        <v>0</v>
      </c>
      <c r="L41" s="27">
        <v>0</v>
      </c>
      <c r="M41" s="262">
        <f>'User Volumes'!E18*$AD$61</f>
        <v>5191.8158398510777</v>
      </c>
      <c r="N41" s="262">
        <f>'User Volumes'!D18*$AD$61</f>
        <v>14833.759542431651</v>
      </c>
      <c r="O41" s="19">
        <f>IFERROR(VLOOKUP($A41,'Parameter Values'!$A$78:$E$107,2,FALSE),'Parameter Values'!B$107)</f>
        <v>22000</v>
      </c>
      <c r="P41" s="19">
        <f>IFERROR(VLOOKUP($A41,'Parameter Values'!$A$78:$E$107,3,FALSE),'Parameter Values'!C$107)</f>
        <v>61500</v>
      </c>
      <c r="Q41" s="19">
        <f>IFERROR(VLOOKUP($A41,'Parameter Values'!$A$78:$E$107,4,FALSE),'Parameter Values'!D$107)</f>
        <v>1069000</v>
      </c>
      <c r="R41" s="19">
        <f>IFERROR(VLOOKUP($A41,'Parameter Values'!$A$78:$E$107,5,FALSE),'Parameter Values'!E$107)</f>
        <v>282.11153813306004</v>
      </c>
      <c r="S41" s="19">
        <f t="shared" si="0"/>
        <v>3418468.5415896322</v>
      </c>
      <c r="T41" s="18">
        <f t="shared" si="1"/>
        <v>-1107438.7902034211</v>
      </c>
      <c r="AA41" s="13"/>
      <c r="AB41" s="267"/>
      <c r="AC41" s="180"/>
      <c r="AD41" s="180"/>
      <c r="AE41"/>
      <c r="AF41"/>
      <c r="AG41"/>
      <c r="AH41"/>
      <c r="AI41"/>
      <c r="AJ41"/>
      <c r="AK41"/>
      <c r="AL41"/>
      <c r="AM41"/>
      <c r="AN41"/>
      <c r="AO41"/>
      <c r="AP41"/>
      <c r="AQ41"/>
      <c r="AR41"/>
      <c r="AS41"/>
      <c r="AT41" s="312"/>
      <c r="AU41"/>
      <c r="AV41" s="314"/>
      <c r="AW41"/>
      <c r="AX41" s="263"/>
      <c r="AY41" s="263"/>
      <c r="AZ41"/>
      <c r="BA41" s="312"/>
      <c r="BB41"/>
      <c r="BC41" s="314"/>
      <c r="BD41"/>
      <c r="BE41" s="314"/>
      <c r="BF41" s="263"/>
      <c r="BG41"/>
      <c r="BH41"/>
      <c r="BI41" s="312"/>
      <c r="BJ41"/>
      <c r="BK41"/>
      <c r="BL41"/>
      <c r="BM41" s="383"/>
      <c r="BN41" s="380"/>
      <c r="BO41" s="380"/>
      <c r="BP41" s="380"/>
      <c r="BQ41" s="384"/>
      <c r="BR41"/>
      <c r="BS41"/>
      <c r="BT41"/>
      <c r="BU41"/>
      <c r="BV41"/>
      <c r="BW41"/>
      <c r="BX41"/>
      <c r="BY41"/>
      <c r="BZ41" s="14"/>
    </row>
    <row r="42" spans="1:78" ht="18" x14ac:dyDescent="0.35">
      <c r="A42" s="1">
        <f>IF(A41&lt;'Project Information'!B$11,A41+1,"")</f>
        <v>2037</v>
      </c>
      <c r="B42" s="135">
        <f>('User Volumes'!K19*$B$15)+(('User Volumes'!B19*'User Volumes'!$T$46/$AC$36)*$AC$46)+(('User Volumes'!C19*'User Volumes'!$T$46/$AC$36)*$AC$45)</f>
        <v>5620666.007661134</v>
      </c>
      <c r="C42" s="135">
        <v>0</v>
      </c>
      <c r="D42" s="135">
        <f>('User Volumes'!K19*$C$15)+(('User Volumes'!B19*'User Volumes'!$T$46/$AC$36)*$AC$52)+(('User Volumes'!C19*'User Volumes'!$T$46/$AC$36)*$AC$51)</f>
        <v>1628791.4261071961</v>
      </c>
      <c r="E42" s="136">
        <v>0</v>
      </c>
      <c r="F42" s="1"/>
      <c r="G42" s="262">
        <f>'User Volumes'!E19*$AD$60</f>
        <v>53.063249876186163</v>
      </c>
      <c r="H42" s="262">
        <f>'User Volumes'!D19*'Emissions Reduction'!$AD$60</f>
        <v>151.60928536053189</v>
      </c>
      <c r="I42" s="27">
        <v>0</v>
      </c>
      <c r="J42" s="27">
        <v>0</v>
      </c>
      <c r="K42" s="27">
        <v>0</v>
      </c>
      <c r="L42" s="27">
        <v>0</v>
      </c>
      <c r="M42" s="262">
        <f>'User Volumes'!E19*$AD$61</f>
        <v>5243.7339982495887</v>
      </c>
      <c r="N42" s="262">
        <f>'User Volumes'!D19*$AD$61</f>
        <v>14982.09713785597</v>
      </c>
      <c r="O42" s="19">
        <f>IFERROR(VLOOKUP($A42,'Parameter Values'!$A$78:$E$107,2,FALSE),'Parameter Values'!B$107)</f>
        <v>22000</v>
      </c>
      <c r="P42" s="19">
        <f>IFERROR(VLOOKUP($A42,'Parameter Values'!$A$78:$E$107,3,FALSE),'Parameter Values'!C$107)</f>
        <v>61500</v>
      </c>
      <c r="Q42" s="19">
        <f>IFERROR(VLOOKUP($A42,'Parameter Values'!$A$78:$E$107,4,FALSE),'Parameter Values'!D$107)</f>
        <v>1069000</v>
      </c>
      <c r="R42" s="19">
        <f>IFERROR(VLOOKUP($A42,'Parameter Values'!$A$78:$E$107,5,FALSE),'Parameter Values'!E$107)</f>
        <v>286.58949905580704</v>
      </c>
      <c r="S42" s="19">
        <f t="shared" si="0"/>
        <v>3452653.2270055283</v>
      </c>
      <c r="T42" s="18">
        <f t="shared" si="1"/>
        <v>-1162121.1876961328</v>
      </c>
      <c r="AA42" s="13"/>
      <c r="AB42" s="290" t="s">
        <v>499</v>
      </c>
      <c r="AC42" s="260">
        <f>$AC$38*$B$21</f>
        <v>1498</v>
      </c>
      <c r="AD42" s="181" t="s">
        <v>500</v>
      </c>
      <c r="AE42"/>
      <c r="AF42"/>
      <c r="AG42"/>
      <c r="AH42"/>
      <c r="AI42"/>
      <c r="AJ42"/>
      <c r="AK42"/>
      <c r="AL42"/>
      <c r="AM42"/>
      <c r="AN42"/>
      <c r="AO42"/>
      <c r="AP42"/>
      <c r="AQ42"/>
      <c r="AR42"/>
      <c r="AS42"/>
      <c r="AT42" s="312"/>
      <c r="AU42"/>
      <c r="AV42" s="314"/>
      <c r="AW42"/>
      <c r="AX42" s="263"/>
      <c r="AY42" s="263"/>
      <c r="AZ42"/>
      <c r="BA42" s="312"/>
      <c r="BB42"/>
      <c r="BC42" s="314"/>
      <c r="BD42"/>
      <c r="BE42" s="314"/>
      <c r="BF42" s="263"/>
      <c r="BG42"/>
      <c r="BH42"/>
      <c r="BI42" s="312"/>
      <c r="BJ42"/>
      <c r="BK42"/>
      <c r="BL42"/>
      <c r="BM42" s="385"/>
      <c r="BN42" s="380"/>
      <c r="BO42" s="380"/>
      <c r="BP42" s="380"/>
      <c r="BQ42" s="386"/>
      <c r="BR42"/>
      <c r="BS42"/>
      <c r="BT42"/>
      <c r="BU42"/>
      <c r="BV42"/>
      <c r="BW42"/>
      <c r="BX42"/>
      <c r="BY42"/>
      <c r="BZ42" s="14"/>
    </row>
    <row r="43" spans="1:78" ht="18" x14ac:dyDescent="0.35">
      <c r="A43" s="1">
        <f>IF(A42&lt;'Project Information'!B$11,A42+1,"")</f>
        <v>2038</v>
      </c>
      <c r="B43" s="135">
        <f>('User Volumes'!K20*$B$15)+(('User Volumes'!B20*'User Volumes'!$T$46/$AC$36)*$AC$46)+(('User Volumes'!C20*'User Volumes'!$T$46/$AC$36)*$AC$45)</f>
        <v>5676872.6677377447</v>
      </c>
      <c r="C43" s="135">
        <v>0</v>
      </c>
      <c r="D43" s="135">
        <f>('User Volumes'!K20*$C$15)+(('User Volumes'!B20*'User Volumes'!$T$46/$AC$36)*$AC$52)+(('User Volumes'!C20*'User Volumes'!$T$46/$AC$36)*$AC$51)</f>
        <v>1645079.3403682681</v>
      </c>
      <c r="E43" s="136">
        <v>0</v>
      </c>
      <c r="F43" s="1"/>
      <c r="G43" s="262">
        <f>'User Volumes'!E20*$AD$60</f>
        <v>53.593882374948016</v>
      </c>
      <c r="H43" s="262">
        <f>'User Volumes'!D20*'Emissions Reduction'!$AD$60</f>
        <v>153.12537821413721</v>
      </c>
      <c r="I43" s="27">
        <v>0</v>
      </c>
      <c r="J43" s="27">
        <v>0</v>
      </c>
      <c r="K43" s="27">
        <v>0</v>
      </c>
      <c r="L43" s="27">
        <v>0</v>
      </c>
      <c r="M43" s="262">
        <f>'User Volumes'!E20*$AD$61</f>
        <v>5296.1713382320841</v>
      </c>
      <c r="N43" s="262">
        <f>'User Volumes'!D20*$AD$61</f>
        <v>15131.918109234528</v>
      </c>
      <c r="O43" s="19">
        <f>IFERROR(VLOOKUP($A43,'Parameter Values'!$A$78:$E$107,2,FALSE),'Parameter Values'!B$107)</f>
        <v>22000</v>
      </c>
      <c r="P43" s="19">
        <f>IFERROR(VLOOKUP($A43,'Parameter Values'!$A$78:$E$107,3,FALSE),'Parameter Values'!C$107)</f>
        <v>61500</v>
      </c>
      <c r="Q43" s="19">
        <f>IFERROR(VLOOKUP($A43,'Parameter Values'!$A$78:$E$107,4,FALSE),'Parameter Values'!D$107)</f>
        <v>1069000</v>
      </c>
      <c r="R43" s="19">
        <f>IFERROR(VLOOKUP($A43,'Parameter Values'!$A$78:$E$107,5,FALSE),'Parameter Values'!E$107)</f>
        <v>289.94796974786726</v>
      </c>
      <c r="S43" s="19">
        <f t="shared" si="0"/>
        <v>3487179.7592755822</v>
      </c>
      <c r="T43" s="18">
        <f t="shared" si="1"/>
        <v>-1206775.4668380315</v>
      </c>
      <c r="AA43" s="13"/>
      <c r="AB43" s="309" t="s">
        <v>501</v>
      </c>
      <c r="AC43" s="260">
        <f>$AC$39*$B$26</f>
        <v>22460.399999999998</v>
      </c>
      <c r="AD43" s="181" t="s">
        <v>500</v>
      </c>
      <c r="AE43"/>
      <c r="AF43"/>
      <c r="AG43"/>
      <c r="AH43"/>
      <c r="AI43"/>
      <c r="AJ43"/>
      <c r="AK43"/>
      <c r="AL43"/>
      <c r="AM43"/>
      <c r="AN43"/>
      <c r="AO43"/>
      <c r="AP43"/>
      <c r="AQ43"/>
      <c r="AR43"/>
      <c r="AS43"/>
      <c r="AT43" s="312"/>
      <c r="AU43"/>
      <c r="AV43" s="314"/>
      <c r="AW43"/>
      <c r="AX43" s="263"/>
      <c r="AY43" s="263"/>
      <c r="AZ43"/>
      <c r="BA43" s="312"/>
      <c r="BB43"/>
      <c r="BC43" s="314"/>
      <c r="BD43"/>
      <c r="BE43" s="314"/>
      <c r="BF43" s="263"/>
      <c r="BG43"/>
      <c r="BH43"/>
      <c r="BI43" s="312"/>
      <c r="BJ43"/>
      <c r="BK43"/>
      <c r="BL43"/>
      <c r="BM43" s="385"/>
      <c r="BN43" s="380"/>
      <c r="BO43" s="380"/>
      <c r="BP43" s="380"/>
      <c r="BQ43" s="387"/>
      <c r="BR43"/>
      <c r="BS43"/>
      <c r="BT43"/>
      <c r="BU43"/>
      <c r="BV43"/>
      <c r="BW43"/>
      <c r="BX43"/>
      <c r="BY43"/>
      <c r="BZ43" s="14"/>
    </row>
    <row r="44" spans="1:78" ht="18" x14ac:dyDescent="0.35">
      <c r="A44" s="1">
        <f>IF(A43&lt;'Project Information'!B$11,A43+1,"")</f>
        <v>2039</v>
      </c>
      <c r="B44" s="135">
        <f>('User Volumes'!K21*$B$15)+(('User Volumes'!B21*'User Volumes'!$T$46/$AC$36)*$AC$46)+(('User Volumes'!C21*'User Volumes'!$T$46/$AC$36)*$AC$45)</f>
        <v>5733641.3944151225</v>
      </c>
      <c r="C44" s="135">
        <v>0</v>
      </c>
      <c r="D44" s="135">
        <f>('User Volumes'!K21*$C$15)+(('User Volumes'!B21*'User Volumes'!$T$46/$AC$36)*$AC$52)+(('User Volumes'!C21*'User Volumes'!$T$46/$AC$36)*$AC$51)</f>
        <v>1661530.1337719508</v>
      </c>
      <c r="E44" s="136">
        <v>0</v>
      </c>
      <c r="F44" s="1"/>
      <c r="G44" s="262">
        <f>'User Volumes'!E21*$AD$60</f>
        <v>54.129821198697499</v>
      </c>
      <c r="H44" s="262">
        <f>'User Volumes'!D21*'Emissions Reduction'!$AD$60</f>
        <v>154.65663199627858</v>
      </c>
      <c r="I44" s="27">
        <v>0</v>
      </c>
      <c r="J44" s="27">
        <v>0</v>
      </c>
      <c r="K44" s="27">
        <v>0</v>
      </c>
      <c r="L44" s="27">
        <v>0</v>
      </c>
      <c r="M44" s="262">
        <f>'User Volumes'!E21*$AD$61</f>
        <v>5349.1330516144053</v>
      </c>
      <c r="N44" s="262">
        <f>'User Volumes'!D21*$AD$61</f>
        <v>15283.237290326872</v>
      </c>
      <c r="O44" s="19">
        <f>IFERROR(VLOOKUP($A44,'Parameter Values'!$A$78:$E$107,2,FALSE),'Parameter Values'!B$107)</f>
        <v>22000</v>
      </c>
      <c r="P44" s="19">
        <f>IFERROR(VLOOKUP($A44,'Parameter Values'!$A$78:$E$107,3,FALSE),'Parameter Values'!C$107)</f>
        <v>61500</v>
      </c>
      <c r="Q44" s="19">
        <f>IFERROR(VLOOKUP($A44,'Parameter Values'!$A$78:$E$107,4,FALSE),'Parameter Values'!D$107)</f>
        <v>1069000</v>
      </c>
      <c r="R44" s="19">
        <f>IFERROR(VLOOKUP($A44,'Parameter Values'!$A$78:$E$107,5,FALSE),'Parameter Values'!E$107)</f>
        <v>294.42593067061426</v>
      </c>
      <c r="S44" s="19">
        <f t="shared" si="0"/>
        <v>3522051.556868339</v>
      </c>
      <c r="T44" s="18">
        <f t="shared" si="1"/>
        <v>-1263327.7520898608</v>
      </c>
      <c r="AA44" s="13"/>
      <c r="AB44" s="309" t="s">
        <v>502</v>
      </c>
      <c r="AC44" s="260">
        <f>$AC$40*$B$26</f>
        <v>18849.120000000003</v>
      </c>
      <c r="AD44" s="181" t="s">
        <v>500</v>
      </c>
      <c r="AE44"/>
      <c r="AF44"/>
      <c r="AG44"/>
      <c r="AH44"/>
      <c r="AI44"/>
      <c r="AJ44"/>
      <c r="AK44"/>
      <c r="AL44"/>
      <c r="AM44"/>
      <c r="AN44"/>
      <c r="AO44"/>
      <c r="AP44"/>
      <c r="AQ44"/>
      <c r="AR44"/>
      <c r="AS44"/>
      <c r="AT44" s="312"/>
      <c r="AU44"/>
      <c r="AV44" s="314"/>
      <c r="AW44"/>
      <c r="AX44" s="263"/>
      <c r="AY44" s="263"/>
      <c r="AZ44"/>
      <c r="BA44" s="312"/>
      <c r="BB44"/>
      <c r="BC44" s="314"/>
      <c r="BD44"/>
      <c r="BE44" s="314"/>
      <c r="BF44" s="263"/>
      <c r="BG44"/>
      <c r="BH44"/>
      <c r="BI44" s="312"/>
      <c r="BJ44"/>
      <c r="BK44"/>
      <c r="BL44"/>
      <c r="BM44" s="383"/>
      <c r="BN44" s="380"/>
      <c r="BO44" s="380"/>
      <c r="BP44" s="380"/>
      <c r="BQ44" s="380"/>
      <c r="BR44"/>
      <c r="BS44"/>
      <c r="BT44"/>
      <c r="BU44"/>
      <c r="BV44"/>
      <c r="BW44"/>
      <c r="BX44"/>
      <c r="BY44"/>
      <c r="BZ44" s="14"/>
    </row>
    <row r="45" spans="1:78" ht="18" x14ac:dyDescent="0.35">
      <c r="A45" s="1">
        <f>IF(A44&lt;'Project Information'!B$11,A44+1,"")</f>
        <v>2040</v>
      </c>
      <c r="B45" s="135">
        <f>('User Volumes'!K22*$B$15)+(('User Volumes'!B22*'User Volumes'!$T$46/$AC$36)*$AC$46)+(('User Volumes'!C22*'User Volumes'!$T$46/$AC$36)*$AC$45)</f>
        <v>5790977.8083592737</v>
      </c>
      <c r="C45" s="135">
        <v>0</v>
      </c>
      <c r="D45" s="135">
        <f>('User Volumes'!K22*$C$15)+(('User Volumes'!B22*'User Volumes'!$T$46/$AC$36)*$AC$52)+(('User Volumes'!C22*'User Volumes'!$T$46/$AC$36)*$AC$51)</f>
        <v>1678145.4351096703</v>
      </c>
      <c r="E45" s="136">
        <v>0</v>
      </c>
      <c r="F45" s="1"/>
      <c r="G45" s="262">
        <f>'User Volumes'!E22*$AD$60</f>
        <v>54.671119410684469</v>
      </c>
      <c r="H45" s="262">
        <f>'User Volumes'!D22*'Emissions Reduction'!$AD$60</f>
        <v>156.20319831624133</v>
      </c>
      <c r="I45" s="27">
        <v>0</v>
      </c>
      <c r="J45" s="27">
        <v>0</v>
      </c>
      <c r="K45" s="27">
        <v>0</v>
      </c>
      <c r="L45" s="27">
        <v>0</v>
      </c>
      <c r="M45" s="262">
        <f>'User Volumes'!E22*$AD$61</f>
        <v>5402.6243821305488</v>
      </c>
      <c r="N45" s="262">
        <f>'User Volumes'!D22*$AD$61</f>
        <v>15436.069663230139</v>
      </c>
      <c r="O45" s="19">
        <f>IFERROR(VLOOKUP($A45,'Parameter Values'!$A$78:$E$107,2,FALSE),'Parameter Values'!B$107)</f>
        <v>22000</v>
      </c>
      <c r="P45" s="19">
        <f>IFERROR(VLOOKUP($A45,'Parameter Values'!$A$78:$E$107,3,FALSE),'Parameter Values'!C$107)</f>
        <v>61500</v>
      </c>
      <c r="Q45" s="19">
        <f>IFERROR(VLOOKUP($A45,'Parameter Values'!$A$78:$E$107,4,FALSE),'Parameter Values'!D$107)</f>
        <v>1069000</v>
      </c>
      <c r="R45" s="19">
        <f>IFERROR(VLOOKUP($A45,'Parameter Values'!$A$78:$E$107,5,FALSE),'Parameter Values'!E$107)</f>
        <v>298.90389159336127</v>
      </c>
      <c r="S45" s="19">
        <f t="shared" si="0"/>
        <v>3557272.0724370228</v>
      </c>
      <c r="T45" s="18">
        <f t="shared" si="1"/>
        <v>-1320890.4055000436</v>
      </c>
      <c r="AA45" s="13"/>
      <c r="AB45" s="267" t="s">
        <v>503</v>
      </c>
      <c r="AC45" s="292">
        <f>AC42+AC43</f>
        <v>23958.399999999998</v>
      </c>
      <c r="AD45" s="181" t="s">
        <v>500</v>
      </c>
      <c r="AE45"/>
      <c r="AF45"/>
      <c r="AG45"/>
      <c r="AH45"/>
      <c r="AI45"/>
      <c r="AJ45"/>
      <c r="AK45"/>
      <c r="AL45"/>
      <c r="AM45"/>
      <c r="AN45"/>
      <c r="AO45"/>
      <c r="AP45"/>
      <c r="AQ45"/>
      <c r="AR45"/>
      <c r="AS45"/>
      <c r="AT45" s="312"/>
      <c r="AU45"/>
      <c r="AV45" s="314"/>
      <c r="AW45"/>
      <c r="AX45" s="263"/>
      <c r="AY45" s="263"/>
      <c r="AZ45"/>
      <c r="BA45" s="312"/>
      <c r="BB45"/>
      <c r="BC45" s="314"/>
      <c r="BD45"/>
      <c r="BE45" s="314"/>
      <c r="BF45" s="263"/>
      <c r="BG45"/>
      <c r="BH45"/>
      <c r="BI45" s="312"/>
      <c r="BJ45"/>
      <c r="BK45"/>
      <c r="BL45"/>
      <c r="BM45" s="388"/>
      <c r="BN45" s="380"/>
      <c r="BO45" s="380"/>
      <c r="BP45" s="380"/>
      <c r="BQ45" s="380"/>
      <c r="BR45"/>
      <c r="BS45"/>
      <c r="BT45"/>
      <c r="BU45"/>
      <c r="BV45"/>
      <c r="BW45"/>
      <c r="BX45"/>
      <c r="BY45"/>
      <c r="BZ45" s="14"/>
    </row>
    <row r="46" spans="1:78" ht="18" x14ac:dyDescent="0.35">
      <c r="A46" s="1">
        <f>IF(A45&lt;'Project Information'!B$11,A45+1,"")</f>
        <v>2041</v>
      </c>
      <c r="B46" s="135">
        <f>('User Volumes'!K23*$B$15)+(('User Volumes'!B23*'User Volumes'!$T$46/$AC$36)*$AC$46)+(('User Volumes'!C23*'User Volumes'!$T$46/$AC$36)*$AC$45)</f>
        <v>5848887.5864428654</v>
      </c>
      <c r="C46" s="135">
        <v>0</v>
      </c>
      <c r="D46" s="135">
        <f>('User Volumes'!K23*$C$15)+(('User Volumes'!B23*'User Volumes'!$T$46/$AC$36)*$AC$52)+(('User Volumes'!C23*'User Volumes'!$T$46/$AC$36)*$AC$51)</f>
        <v>1694926.8894607669</v>
      </c>
      <c r="E46" s="136">
        <v>0</v>
      </c>
      <c r="F46" s="1"/>
      <c r="G46" s="262">
        <f>'User Volumes'!E23*$AD$60</f>
        <v>55.217830604791324</v>
      </c>
      <c r="H46" s="262">
        <f>'User Volumes'!D23*'Emissions Reduction'!$AD$60</f>
        <v>157.76523029940378</v>
      </c>
      <c r="I46" s="27">
        <v>0</v>
      </c>
      <c r="J46" s="27">
        <v>0</v>
      </c>
      <c r="K46" s="27">
        <v>0</v>
      </c>
      <c r="L46" s="27">
        <v>0</v>
      </c>
      <c r="M46" s="262">
        <f>'User Volumes'!E23*$AD$61</f>
        <v>5456.6506259518546</v>
      </c>
      <c r="N46" s="262">
        <f>'User Volumes'!D23*$AD$61</f>
        <v>15590.430359862443</v>
      </c>
      <c r="O46" s="19">
        <f>IFERROR(VLOOKUP($A46,'Parameter Values'!$A$78:$E$107,2,FALSE),'Parameter Values'!B$107)</f>
        <v>22000</v>
      </c>
      <c r="P46" s="19">
        <f>IFERROR(VLOOKUP($A46,'Parameter Values'!$A$78:$E$107,3,FALSE),'Parameter Values'!C$107)</f>
        <v>61500</v>
      </c>
      <c r="Q46" s="19">
        <f>IFERROR(VLOOKUP($A46,'Parameter Values'!$A$78:$E$107,4,FALSE),'Parameter Values'!D$107)</f>
        <v>1069000</v>
      </c>
      <c r="R46" s="19">
        <f>IFERROR(VLOOKUP($A46,'Parameter Values'!$A$78:$E$107,5,FALSE),'Parameter Values'!E$107)</f>
        <v>303.38185251610821</v>
      </c>
      <c r="S46" s="19">
        <f t="shared" si="0"/>
        <v>3592844.7931613913</v>
      </c>
      <c r="T46" s="18">
        <f t="shared" si="1"/>
        <v>-1379477.9792032216</v>
      </c>
      <c r="AA46" s="13"/>
      <c r="AB46" s="267" t="s">
        <v>504</v>
      </c>
      <c r="AC46" s="292">
        <f>AC42+AC44</f>
        <v>20347.120000000003</v>
      </c>
      <c r="AD46" s="181" t="s">
        <v>500</v>
      </c>
      <c r="AE46"/>
      <c r="AF46"/>
      <c r="AG46"/>
      <c r="AH46"/>
      <c r="AI46"/>
      <c r="AJ46"/>
      <c r="AK46"/>
      <c r="AL46"/>
      <c r="AM46"/>
      <c r="AN46"/>
      <c r="AO46"/>
      <c r="AP46"/>
      <c r="AQ46"/>
      <c r="AR46"/>
      <c r="AS46"/>
      <c r="AT46" s="312"/>
      <c r="AU46"/>
      <c r="AV46" s="314"/>
      <c r="AW46"/>
      <c r="AX46" s="263"/>
      <c r="AY46" s="263"/>
      <c r="AZ46"/>
      <c r="BA46" s="312"/>
      <c r="BB46"/>
      <c r="BC46" s="314"/>
      <c r="BD46"/>
      <c r="BE46" s="314"/>
      <c r="BF46" s="263"/>
      <c r="BG46"/>
      <c r="BH46"/>
      <c r="BI46" s="312"/>
      <c r="BJ46"/>
      <c r="BK46"/>
      <c r="BL46"/>
      <c r="BM46" s="383"/>
      <c r="BN46" s="380"/>
      <c r="BO46" s="380"/>
      <c r="BP46" s="380"/>
      <c r="BQ46" s="380"/>
      <c r="BR46"/>
      <c r="BS46"/>
      <c r="BT46"/>
      <c r="BU46"/>
      <c r="BV46"/>
      <c r="BW46"/>
      <c r="BX46"/>
      <c r="BY46"/>
      <c r="BZ46" s="14"/>
    </row>
    <row r="47" spans="1:78" x14ac:dyDescent="0.25">
      <c r="A47" s="1">
        <f>IF(A46&lt;'Project Information'!B$11,A46+1,"")</f>
        <v>2042</v>
      </c>
      <c r="B47" s="135">
        <f>('User Volumes'!K24*$B$15)+(('User Volumes'!B24*'User Volumes'!$T$46/$AC$36)*$AC$46)+(('User Volumes'!C24*'User Volumes'!$T$46/$AC$36)*$AC$45)</f>
        <v>5907376.4623072948</v>
      </c>
      <c r="C47" s="135">
        <v>0</v>
      </c>
      <c r="D47" s="135">
        <f>('User Volumes'!K24*$C$15)+(('User Volumes'!B24*'User Volumes'!$T$46/$AC$36)*$AC$52)+(('User Volumes'!C24*'User Volumes'!$T$46/$AC$36)*$AC$51)</f>
        <v>1711876.1583553746</v>
      </c>
      <c r="E47" s="136">
        <v>0</v>
      </c>
      <c r="F47" s="1"/>
      <c r="G47" s="262">
        <f>'User Volumes'!E24*$AD$60</f>
        <v>55.770008910839223</v>
      </c>
      <c r="H47" s="262">
        <f>'User Volumes'!D24*'Emissions Reduction'!$AD$60</f>
        <v>159.34288260239779</v>
      </c>
      <c r="I47" s="27">
        <v>0</v>
      </c>
      <c r="J47" s="27">
        <v>0</v>
      </c>
      <c r="K47" s="27">
        <v>0</v>
      </c>
      <c r="L47" s="27">
        <v>0</v>
      </c>
      <c r="M47" s="262">
        <f>'User Volumes'!E24*$AD$61</f>
        <v>5511.2171322113727</v>
      </c>
      <c r="N47" s="262">
        <f>'User Volumes'!D24*$AD$61</f>
        <v>15746.334663461066</v>
      </c>
      <c r="O47" s="19">
        <f>IFERROR(VLOOKUP($A47,'Parameter Values'!$A$78:$E$107,2,FALSE),'Parameter Values'!B$107)</f>
        <v>22000</v>
      </c>
      <c r="P47" s="19">
        <f>IFERROR(VLOOKUP($A47,'Parameter Values'!$A$78:$E$107,3,FALSE),'Parameter Values'!C$107)</f>
        <v>61500</v>
      </c>
      <c r="Q47" s="19">
        <f>IFERROR(VLOOKUP($A47,'Parameter Values'!$A$78:$E$107,4,FALSE),'Parameter Values'!D$107)</f>
        <v>1069000</v>
      </c>
      <c r="R47" s="19">
        <f>IFERROR(VLOOKUP($A47,'Parameter Values'!$A$78:$E$107,5,FALSE),'Parameter Values'!E$107)</f>
        <v>307.85981343885521</v>
      </c>
      <c r="S47" s="19">
        <f t="shared" si="0"/>
        <v>3628773.2410930065</v>
      </c>
      <c r="T47" s="18">
        <f t="shared" si="1"/>
        <v>-1439105.2153399119</v>
      </c>
      <c r="AA47" s="13"/>
      <c r="AB47" s="267"/>
      <c r="AC47" s="180"/>
      <c r="AD47" s="181"/>
      <c r="AE47"/>
      <c r="AF47"/>
      <c r="AG47"/>
      <c r="AH47"/>
      <c r="AI47"/>
      <c r="AJ47"/>
      <c r="AK47"/>
      <c r="AL47"/>
      <c r="AM47"/>
      <c r="AN47"/>
      <c r="AO47"/>
      <c r="AP47"/>
      <c r="AQ47"/>
      <c r="AR47"/>
      <c r="AS47"/>
      <c r="AT47" s="312"/>
      <c r="AU47"/>
      <c r="AV47" s="314"/>
      <c r="AW47"/>
      <c r="AX47" s="263"/>
      <c r="AY47" s="263"/>
      <c r="AZ47"/>
      <c r="BA47" s="312"/>
      <c r="BB47"/>
      <c r="BC47" s="314"/>
      <c r="BD47"/>
      <c r="BE47" s="314"/>
      <c r="BF47" s="263"/>
      <c r="BG47"/>
      <c r="BH47"/>
      <c r="BI47" s="312"/>
      <c r="BJ47"/>
      <c r="BK47"/>
      <c r="BL47"/>
      <c r="BM47" s="380"/>
      <c r="BN47" s="380"/>
      <c r="BO47" s="380"/>
      <c r="BP47" s="380"/>
      <c r="BQ47" s="380"/>
      <c r="BR47"/>
      <c r="BS47"/>
      <c r="BT47"/>
      <c r="BU47"/>
      <c r="BV47"/>
      <c r="BW47"/>
      <c r="BX47"/>
      <c r="BY47"/>
      <c r="BZ47" s="14"/>
    </row>
    <row r="48" spans="1:78" ht="18" x14ac:dyDescent="0.35">
      <c r="A48" s="1">
        <f>IF(A47&lt;'Project Information'!B$11,A47+1,"")</f>
        <v>2043</v>
      </c>
      <c r="B48" s="135">
        <f>('User Volumes'!K25*$B$15)+(('User Volumes'!B25*'User Volumes'!$T$46/$AC$36)*$AC$46)+(('User Volumes'!C25*'User Volumes'!$T$46/$AC$36)*$AC$45)</f>
        <v>5966450.2269303687</v>
      </c>
      <c r="C48" s="135">
        <v>0</v>
      </c>
      <c r="D48" s="135">
        <f>('User Volumes'!K25*$C$15)+(('User Volumes'!B25*'User Volumes'!$T$46/$AC$36)*$AC$52)+(('User Volumes'!C25*'User Volumes'!$T$46/$AC$36)*$AC$51)</f>
        <v>1728994.9199389284</v>
      </c>
      <c r="E48" s="136">
        <v>0</v>
      </c>
      <c r="F48" s="1"/>
      <c r="G48" s="262">
        <f>'User Volumes'!E25*$AD$60</f>
        <v>56.327708999947625</v>
      </c>
      <c r="H48" s="262">
        <f>'User Volumes'!D25*'Emissions Reduction'!$AD$60</f>
        <v>160.93631142842179</v>
      </c>
      <c r="I48" s="27">
        <v>0</v>
      </c>
      <c r="J48" s="27">
        <v>0</v>
      </c>
      <c r="K48" s="27">
        <v>0</v>
      </c>
      <c r="L48" s="27">
        <v>0</v>
      </c>
      <c r="M48" s="262">
        <f>'User Volumes'!E25*$AD$61</f>
        <v>5566.3293035334864</v>
      </c>
      <c r="N48" s="262">
        <f>'User Volumes'!D25*$AD$61</f>
        <v>15903.798010095677</v>
      </c>
      <c r="O48" s="19">
        <f>IFERROR(VLOOKUP($A48,'Parameter Values'!$A$78:$E$107,2,FALSE),'Parameter Values'!B$107)</f>
        <v>22000</v>
      </c>
      <c r="P48" s="19">
        <f>IFERROR(VLOOKUP($A48,'Parameter Values'!$A$78:$E$107,3,FALSE),'Parameter Values'!C$107)</f>
        <v>61500</v>
      </c>
      <c r="Q48" s="19">
        <f>IFERROR(VLOOKUP($A48,'Parameter Values'!$A$78:$E$107,4,FALSE),'Parameter Values'!D$107)</f>
        <v>1069000</v>
      </c>
      <c r="R48" s="19">
        <f>IFERROR(VLOOKUP($A48,'Parameter Values'!$A$78:$E$107,5,FALSE),'Parameter Values'!E$107)</f>
        <v>312.33777436160221</v>
      </c>
      <c r="S48" s="19">
        <f t="shared" si="0"/>
        <v>3665060.973503937</v>
      </c>
      <c r="T48" s="18">
        <f t="shared" si="1"/>
        <v>-1499787.0484014172</v>
      </c>
      <c r="AA48" s="13"/>
      <c r="AB48" s="290" t="s">
        <v>505</v>
      </c>
      <c r="AC48" s="260">
        <f>$AC$38*$C$21</f>
        <v>56</v>
      </c>
      <c r="AD48" s="181" t="s">
        <v>500</v>
      </c>
      <c r="AE48"/>
      <c r="AF48"/>
      <c r="AG48"/>
      <c r="AH48"/>
      <c r="AI48"/>
      <c r="AJ48"/>
      <c r="AK48"/>
      <c r="AL48"/>
      <c r="AM48"/>
      <c r="AN48"/>
      <c r="AO48"/>
      <c r="AP48"/>
      <c r="AQ48"/>
      <c r="AR48"/>
      <c r="AS48"/>
      <c r="AT48" s="312"/>
      <c r="AU48"/>
      <c r="AV48" s="314"/>
      <c r="AW48"/>
      <c r="AX48" s="263"/>
      <c r="AY48" s="263"/>
      <c r="AZ48"/>
      <c r="BA48" s="312"/>
      <c r="BB48"/>
      <c r="BC48" s="314"/>
      <c r="BD48"/>
      <c r="BE48" s="314"/>
      <c r="BF48" s="263"/>
      <c r="BG48"/>
      <c r="BH48"/>
      <c r="BI48" s="312"/>
      <c r="BJ48"/>
      <c r="BK48"/>
      <c r="BL48"/>
      <c r="BM48" s="387"/>
      <c r="BN48" s="380"/>
      <c r="BO48" s="380"/>
      <c r="BP48" s="380"/>
      <c r="BQ48" s="380"/>
      <c r="BR48"/>
      <c r="BS48"/>
      <c r="BT48"/>
      <c r="BU48"/>
      <c r="BV48"/>
      <c r="BW48"/>
      <c r="BX48"/>
      <c r="BY48"/>
      <c r="BZ48" s="14"/>
    </row>
    <row r="49" spans="1:78" ht="18" x14ac:dyDescent="0.35">
      <c r="A49" s="1">
        <f>IF(A48&lt;'Project Information'!B$11,A48+1,"")</f>
        <v>2044</v>
      </c>
      <c r="B49" s="135">
        <f>('User Volumes'!K26*$B$15)+(('User Volumes'!B26*'User Volumes'!$T$46/$AC$36)*$AC$46)+(('User Volumes'!C26*'User Volumes'!$T$46/$AC$36)*$AC$45)</f>
        <v>6026114.7291996721</v>
      </c>
      <c r="C49" s="135">
        <v>0</v>
      </c>
      <c r="D49" s="135">
        <f>('User Volumes'!K26*$C$15)+(('User Volumes'!B26*'User Volumes'!$T$46/$AC$36)*$AC$52)+(('User Volumes'!C26*'User Volumes'!$T$46/$AC$36)*$AC$51)</f>
        <v>1746284.8691383176</v>
      </c>
      <c r="E49" s="136">
        <v>0</v>
      </c>
      <c r="F49" s="1"/>
      <c r="G49" s="262">
        <f>'User Volumes'!E26*$AD$60</f>
        <v>56.890986089947106</v>
      </c>
      <c r="H49" s="262">
        <f>'User Volumes'!D26*'Emissions Reduction'!$AD$60</f>
        <v>162.54567454270602</v>
      </c>
      <c r="I49" s="27">
        <v>0</v>
      </c>
      <c r="J49" s="27">
        <v>0</v>
      </c>
      <c r="K49" s="27">
        <v>0</v>
      </c>
      <c r="L49" s="27">
        <v>0</v>
      </c>
      <c r="M49" s="262">
        <f>'User Volumes'!E26*$AD$61</f>
        <v>5621.9925965688226</v>
      </c>
      <c r="N49" s="262">
        <f>'User Volumes'!D26*$AD$61</f>
        <v>16062.835990196636</v>
      </c>
      <c r="O49" s="19">
        <f>IFERROR(VLOOKUP($A49,'Parameter Values'!$A$78:$E$107,2,FALSE),'Parameter Values'!B$107)</f>
        <v>22000</v>
      </c>
      <c r="P49" s="19">
        <f>IFERROR(VLOOKUP($A49,'Parameter Values'!$A$78:$E$107,3,FALSE),'Parameter Values'!C$107)</f>
        <v>61500</v>
      </c>
      <c r="Q49" s="19">
        <f>IFERROR(VLOOKUP($A49,'Parameter Values'!$A$78:$E$107,4,FALSE),'Parameter Values'!D$107)</f>
        <v>1069000</v>
      </c>
      <c r="R49" s="19">
        <f>IFERROR(VLOOKUP($A49,'Parameter Values'!$A$78:$E$107,5,FALSE),'Parameter Values'!E$107)</f>
        <v>316.81573528434916</v>
      </c>
      <c r="S49" s="19">
        <f t="shared" si="0"/>
        <v>3701711.5832389761</v>
      </c>
      <c r="T49" s="18">
        <f t="shared" si="1"/>
        <v>-1561538.6076026172</v>
      </c>
      <c r="AA49" s="13"/>
      <c r="AB49" s="290" t="s">
        <v>506</v>
      </c>
      <c r="AC49" s="260">
        <f>$AC$39*$C$26</f>
        <v>2856</v>
      </c>
      <c r="AD49" s="181" t="s">
        <v>500</v>
      </c>
      <c r="AE49"/>
      <c r="AF49"/>
      <c r="AG49"/>
      <c r="AH49"/>
      <c r="AI49"/>
      <c r="AJ49"/>
      <c r="AK49"/>
      <c r="AL49"/>
      <c r="AM49"/>
      <c r="AN49"/>
      <c r="AO49"/>
      <c r="AP49"/>
      <c r="AQ49"/>
      <c r="AR49"/>
      <c r="AS49"/>
      <c r="AT49" s="312"/>
      <c r="AU49"/>
      <c r="AV49" s="314"/>
      <c r="AW49"/>
      <c r="AX49" s="263"/>
      <c r="AY49" s="263"/>
      <c r="AZ49"/>
      <c r="BA49" s="312"/>
      <c r="BB49"/>
      <c r="BC49" s="314"/>
      <c r="BD49"/>
      <c r="BE49" s="314"/>
      <c r="BF49" s="263"/>
      <c r="BG49"/>
      <c r="BH49"/>
      <c r="BI49" s="312"/>
      <c r="BJ49"/>
      <c r="BK49"/>
      <c r="BL49"/>
      <c r="BM49" s="380"/>
      <c r="BN49" s="380"/>
      <c r="BO49" s="380"/>
      <c r="BP49" s="380"/>
      <c r="BQ49" s="380"/>
      <c r="BR49"/>
      <c r="BS49"/>
      <c r="BT49"/>
      <c r="BU49"/>
      <c r="BV49"/>
      <c r="BW49"/>
      <c r="BX49"/>
      <c r="BY49"/>
      <c r="BZ49" s="14"/>
    </row>
    <row r="50" spans="1:78" ht="18" x14ac:dyDescent="0.35">
      <c r="A50" s="1">
        <f>IF(A49&lt;'Project Information'!B$11,A49+1,"")</f>
        <v>2045</v>
      </c>
      <c r="B50" s="135">
        <f>('User Volumes'!K27*$B$15)+(('User Volumes'!B27*'User Volumes'!$T$46/$AC$36)*$AC$46)+(('User Volumes'!C27*'User Volumes'!$T$46/$AC$36)*$AC$45)</f>
        <v>6086375.8764916686</v>
      </c>
      <c r="C50" s="135">
        <v>0</v>
      </c>
      <c r="D50" s="135">
        <f>('User Volumes'!K27*$C$15)+(('User Volumes'!B27*'User Volumes'!$T$46/$AC$36)*$AC$52)+(('User Volumes'!C27*'User Volumes'!$T$46/$AC$36)*$AC$51)</f>
        <v>1763747.717829701</v>
      </c>
      <c r="E50" s="136">
        <v>0</v>
      </c>
      <c r="F50" s="1"/>
      <c r="G50" s="262">
        <f>'User Volumes'!E27*$AD$60</f>
        <v>57.459895950846573</v>
      </c>
      <c r="H50" s="262">
        <f>'User Volumes'!D27*'Emissions Reduction'!$AD$60</f>
        <v>164.17113128813307</v>
      </c>
      <c r="I50" s="27">
        <v>0</v>
      </c>
      <c r="J50" s="27">
        <v>0</v>
      </c>
      <c r="K50" s="27">
        <v>0</v>
      </c>
      <c r="L50" s="27">
        <v>0</v>
      </c>
      <c r="M50" s="262">
        <f>'User Volumes'!E27*$AD$61</f>
        <v>5678.2125225345108</v>
      </c>
      <c r="N50" s="262">
        <f>'User Volumes'!D27*$AD$61</f>
        <v>16223.464350098602</v>
      </c>
      <c r="O50" s="19">
        <f>IFERROR(VLOOKUP($A50,'Parameter Values'!$A$78:$E$107,2,FALSE),'Parameter Values'!B$107)</f>
        <v>22000</v>
      </c>
      <c r="P50" s="19">
        <f>IFERROR(VLOOKUP($A50,'Parameter Values'!$A$78:$E$107,3,FALSE),'Parameter Values'!C$107)</f>
        <v>61500</v>
      </c>
      <c r="Q50" s="19">
        <f>IFERROR(VLOOKUP($A50,'Parameter Values'!$A$78:$E$107,4,FALSE),'Parameter Values'!D$107)</f>
        <v>1069000</v>
      </c>
      <c r="R50" s="19">
        <f>IFERROR(VLOOKUP($A50,'Parameter Values'!$A$78:$E$107,5,FALSE),'Parameter Values'!E$107)</f>
        <v>321.29369620709616</v>
      </c>
      <c r="S50" s="19">
        <f t="shared" si="0"/>
        <v>3738728.6990713659</v>
      </c>
      <c r="T50" s="18">
        <f t="shared" si="1"/>
        <v>-1624375.2192830015</v>
      </c>
      <c r="AA50" s="13"/>
      <c r="AB50" s="290" t="s">
        <v>507</v>
      </c>
      <c r="AC50" s="260">
        <f>$AC$40*$C$26</f>
        <v>2396.8000000000002</v>
      </c>
      <c r="AD50" s="181" t="s">
        <v>500</v>
      </c>
      <c r="AE50"/>
      <c r="AF50"/>
      <c r="AG50"/>
      <c r="AH50"/>
      <c r="AI50"/>
      <c r="AJ50"/>
      <c r="AK50"/>
      <c r="AL50"/>
      <c r="AM50"/>
      <c r="AN50"/>
      <c r="AO50"/>
      <c r="AP50"/>
      <c r="AQ50"/>
      <c r="AR50"/>
      <c r="AS50"/>
      <c r="AT50" s="312"/>
      <c r="AU50"/>
      <c r="AV50" s="314"/>
      <c r="AW50"/>
      <c r="AX50" s="263"/>
      <c r="AY50" s="263"/>
      <c r="AZ50"/>
      <c r="BA50" s="312"/>
      <c r="BB50"/>
      <c r="BC50" s="314"/>
      <c r="BD50"/>
      <c r="BE50" s="314"/>
      <c r="BF50" s="263"/>
      <c r="BG50"/>
      <c r="BH50"/>
      <c r="BI50" s="312"/>
      <c r="BJ50"/>
      <c r="BK50"/>
      <c r="BL50"/>
      <c r="BM50" s="380"/>
      <c r="BN50" s="380"/>
      <c r="BO50" s="387"/>
      <c r="BP50" s="380"/>
      <c r="BQ50" s="380"/>
      <c r="BR50"/>
      <c r="BS50"/>
      <c r="BT50"/>
      <c r="BU50"/>
      <c r="BV50"/>
      <c r="BW50"/>
      <c r="BX50"/>
      <c r="BY50"/>
      <c r="BZ50" s="14"/>
    </row>
    <row r="51" spans="1:78" ht="18" x14ac:dyDescent="0.35">
      <c r="A51" s="1">
        <f>IF(A50&lt;'Project Information'!B$11,A50+1,"")</f>
        <v>2046</v>
      </c>
      <c r="B51" s="135">
        <f>('User Volumes'!K28*$B$15)+(('User Volumes'!B28*'User Volumes'!$T$46/$AC$36)*$AC$46)+(('User Volumes'!C28*'User Volumes'!$T$46/$AC$36)*$AC$45)</f>
        <v>6147239.6352565866</v>
      </c>
      <c r="C51" s="135">
        <v>0</v>
      </c>
      <c r="D51" s="135">
        <f>('User Volumes'!K28*$C$15)+(('User Volumes'!B28*'User Volumes'!$T$46/$AC$36)*$AC$52)+(('User Volumes'!C28*'User Volumes'!$T$46/$AC$36)*$AC$51)</f>
        <v>1781385.195007998</v>
      </c>
      <c r="E51" s="136">
        <v>0</v>
      </c>
      <c r="F51" s="1"/>
      <c r="G51" s="262">
        <f>'User Volumes'!E28*$AD$60</f>
        <v>58.034494910355043</v>
      </c>
      <c r="H51" s="262">
        <f>'User Volumes'!D28*'Emissions Reduction'!$AD$60</f>
        <v>165.81284260101444</v>
      </c>
      <c r="I51" s="27">
        <v>0</v>
      </c>
      <c r="J51" s="27">
        <v>0</v>
      </c>
      <c r="K51" s="27">
        <v>0</v>
      </c>
      <c r="L51" s="27">
        <v>0</v>
      </c>
      <c r="M51" s="262">
        <f>'User Volumes'!E28*$AD$61</f>
        <v>5734.994647759856</v>
      </c>
      <c r="N51" s="262">
        <f>'User Volumes'!D28*$AD$61</f>
        <v>16385.698993599592</v>
      </c>
      <c r="O51" s="19">
        <f>IFERROR(VLOOKUP($A51,'Parameter Values'!$A$78:$E$107,2,FALSE),'Parameter Values'!B$107)</f>
        <v>22000</v>
      </c>
      <c r="P51" s="19">
        <f>IFERROR(VLOOKUP($A51,'Parameter Values'!$A$78:$E$107,3,FALSE),'Parameter Values'!C$107)</f>
        <v>61500</v>
      </c>
      <c r="Q51" s="19">
        <f>IFERROR(VLOOKUP($A51,'Parameter Values'!$A$78:$E$107,4,FALSE),'Parameter Values'!D$107)</f>
        <v>1069000</v>
      </c>
      <c r="R51" s="19">
        <f>IFERROR(VLOOKUP($A51,'Parameter Values'!$A$78:$E$107,5,FALSE),'Parameter Values'!E$107)</f>
        <v>325.77165712984316</v>
      </c>
      <c r="S51" s="19">
        <f t="shared" si="0"/>
        <v>3776115.9860620801</v>
      </c>
      <c r="T51" s="18">
        <f t="shared" si="1"/>
        <v>-1688312.4093362344</v>
      </c>
      <c r="AA51" s="13"/>
      <c r="AB51" s="267" t="s">
        <v>508</v>
      </c>
      <c r="AC51" s="292">
        <f>AC48+AC49</f>
        <v>2912</v>
      </c>
      <c r="AD51" s="181" t="s">
        <v>500</v>
      </c>
      <c r="AE51"/>
      <c r="AF51"/>
      <c r="AG51"/>
      <c r="AH51"/>
      <c r="AI51"/>
      <c r="AJ51"/>
      <c r="AK51"/>
      <c r="AL51"/>
      <c r="AM51"/>
      <c r="AN51"/>
      <c r="AO51"/>
      <c r="AP51"/>
      <c r="AQ51"/>
      <c r="AR51"/>
      <c r="AS51"/>
      <c r="AT51" s="312"/>
      <c r="AU51"/>
      <c r="AV51" s="314"/>
      <c r="AW51"/>
      <c r="AX51" s="263"/>
      <c r="AY51" s="263"/>
      <c r="AZ51"/>
      <c r="BA51" s="312"/>
      <c r="BB51"/>
      <c r="BC51" s="314"/>
      <c r="BD51"/>
      <c r="BE51" s="314"/>
      <c r="BF51" s="263"/>
      <c r="BG51"/>
      <c r="BH51"/>
      <c r="BI51" s="312"/>
      <c r="BJ51"/>
      <c r="BK51"/>
      <c r="BL51"/>
      <c r="BM51" s="380"/>
      <c r="BN51" s="380"/>
      <c r="BO51" s="380"/>
      <c r="BP51" s="380"/>
      <c r="BQ51" s="380"/>
      <c r="BR51"/>
      <c r="BS51"/>
      <c r="BT51"/>
      <c r="BU51"/>
      <c r="BV51"/>
      <c r="BW51"/>
      <c r="BX51"/>
      <c r="BY51"/>
      <c r="BZ51" s="14"/>
    </row>
    <row r="52" spans="1:78" ht="18" x14ac:dyDescent="0.35">
      <c r="A52" s="1">
        <f>IF(A51&lt;'Project Information'!B$11,A51+1,"")</f>
        <v>2047</v>
      </c>
      <c r="B52" s="135">
        <f>('User Volumes'!K29*$B$15)+(('User Volumes'!B29*'User Volumes'!$T$46/$AC$36)*$AC$46)+(('User Volumes'!C29*'User Volumes'!$T$46/$AC$36)*$AC$45)</f>
        <v>6208712.0316091515</v>
      </c>
      <c r="C52" s="135">
        <v>0</v>
      </c>
      <c r="D52" s="135">
        <f>('User Volumes'!K29*$C$15)+(('User Volumes'!B29*'User Volumes'!$T$46/$AC$36)*$AC$52)+(('User Volumes'!C29*'User Volumes'!$T$46/$AC$36)*$AC$51)</f>
        <v>1799199.0469580777</v>
      </c>
      <c r="E52" s="136">
        <v>0</v>
      </c>
      <c r="F52" s="1"/>
      <c r="G52" s="262">
        <f>'User Volumes'!E29*$AD$60</f>
        <v>58.614839859458584</v>
      </c>
      <c r="H52" s="262">
        <f>'User Volumes'!D29*'Emissions Reduction'!$AD$60</f>
        <v>167.47097102702455</v>
      </c>
      <c r="I52" s="27">
        <v>0</v>
      </c>
      <c r="J52" s="27">
        <v>0</v>
      </c>
      <c r="K52" s="27">
        <v>0</v>
      </c>
      <c r="L52" s="27">
        <v>0</v>
      </c>
      <c r="M52" s="262">
        <f>'User Volumes'!E29*$AD$61</f>
        <v>5792.3445942374537</v>
      </c>
      <c r="N52" s="262">
        <f>'User Volumes'!D29*$AD$61</f>
        <v>16549.555983535582</v>
      </c>
      <c r="O52" s="19">
        <f>IFERROR(VLOOKUP($A52,'Parameter Values'!$A$78:$E$107,2,FALSE),'Parameter Values'!B$107)</f>
        <v>22000</v>
      </c>
      <c r="P52" s="19">
        <f>IFERROR(VLOOKUP($A52,'Parameter Values'!$A$78:$E$107,3,FALSE),'Parameter Values'!C$107)</f>
        <v>61500</v>
      </c>
      <c r="Q52" s="19">
        <f>IFERROR(VLOOKUP($A52,'Parameter Values'!$A$78:$E$107,4,FALSE),'Parameter Values'!D$107)</f>
        <v>1069000</v>
      </c>
      <c r="R52" s="19">
        <f>IFERROR(VLOOKUP($A52,'Parameter Values'!$A$78:$E$107,5,FALSE),'Parameter Values'!E$107)</f>
        <v>331.36910828327689</v>
      </c>
      <c r="S52" s="19">
        <f t="shared" si="0"/>
        <v>3813877.1459227004</v>
      </c>
      <c r="T52" s="18">
        <f t="shared" si="1"/>
        <v>-1765408.4987283535</v>
      </c>
      <c r="AA52" s="13"/>
      <c r="AB52" s="267" t="s">
        <v>509</v>
      </c>
      <c r="AC52" s="292">
        <f>AC48+AC50</f>
        <v>2452.8000000000002</v>
      </c>
      <c r="AD52" s="181" t="s">
        <v>500</v>
      </c>
      <c r="AE52"/>
      <c r="AF52"/>
      <c r="AG52"/>
      <c r="AH52"/>
      <c r="AI52"/>
      <c r="AJ52"/>
      <c r="AK52"/>
      <c r="AL52"/>
      <c r="AM52"/>
      <c r="AN52"/>
      <c r="AO52"/>
      <c r="AP52"/>
      <c r="AQ52"/>
      <c r="AR52"/>
      <c r="AS52"/>
      <c r="AT52" s="312"/>
      <c r="AU52"/>
      <c r="AV52" s="314"/>
      <c r="AW52"/>
      <c r="AX52" s="263"/>
      <c r="AY52" s="263"/>
      <c r="AZ52"/>
      <c r="BA52" s="312"/>
      <c r="BB52"/>
      <c r="BC52" s="314"/>
      <c r="BD52"/>
      <c r="BE52" s="314"/>
      <c r="BF52" s="263"/>
      <c r="BG52"/>
      <c r="BH52"/>
      <c r="BI52" s="312"/>
      <c r="BJ52"/>
      <c r="BK52"/>
      <c r="BL52"/>
      <c r="BM52"/>
      <c r="BN52"/>
      <c r="BO52"/>
      <c r="BP52"/>
      <c r="BQ52"/>
      <c r="BR52"/>
      <c r="BS52"/>
      <c r="BT52"/>
      <c r="BU52"/>
      <c r="BV52"/>
      <c r="BW52"/>
      <c r="BX52"/>
      <c r="BY52"/>
      <c r="BZ52" s="14"/>
    </row>
    <row r="53" spans="1:78" x14ac:dyDescent="0.25">
      <c r="A53" s="1" t="str">
        <f>IF(A52&lt;'Project Information'!B$11,A52+1,"")</f>
        <v/>
      </c>
      <c r="B53" s="135">
        <v>0</v>
      </c>
      <c r="C53" s="135">
        <v>0</v>
      </c>
      <c r="D53" s="135">
        <v>0</v>
      </c>
      <c r="E53" s="136">
        <v>0</v>
      </c>
      <c r="F53" s="1"/>
      <c r="G53" s="27">
        <v>0</v>
      </c>
      <c r="H53" s="27">
        <v>0</v>
      </c>
      <c r="I53" s="27">
        <v>0</v>
      </c>
      <c r="J53" s="27">
        <v>0</v>
      </c>
      <c r="K53" s="27">
        <v>0</v>
      </c>
      <c r="L53" s="27">
        <v>0</v>
      </c>
      <c r="M53" s="27">
        <v>0</v>
      </c>
      <c r="N53" s="27">
        <v>0</v>
      </c>
      <c r="O53" s="19">
        <f>IFERROR(VLOOKUP($A53,'Parameter Values'!$A$78:$E$107,2,FALSE),'Parameter Values'!B$107)</f>
        <v>22000</v>
      </c>
      <c r="P53" s="19">
        <f>IFERROR(VLOOKUP($A53,'Parameter Values'!$A$78:$E$107,3,FALSE),'Parameter Values'!C$107)</f>
        <v>61500</v>
      </c>
      <c r="Q53" s="19">
        <f>IFERROR(VLOOKUP($A53,'Parameter Values'!$A$78:$E$107,4,FALSE),'Parameter Values'!D$107)</f>
        <v>1069000</v>
      </c>
      <c r="R53" s="19">
        <f>IFERROR(VLOOKUP($A53,'Parameter Values'!$A$78:$E$107,5,FALSE),'Parameter Values'!E$107)</f>
        <v>349.28095197426484</v>
      </c>
      <c r="S53" s="19">
        <f t="shared" si="0"/>
        <v>0</v>
      </c>
      <c r="T53" s="18">
        <f t="shared" si="1"/>
        <v>0</v>
      </c>
      <c r="AA53" s="13"/>
      <c r="AB53" s="190"/>
      <c r="AC53"/>
      <c r="AD53"/>
      <c r="AE53"/>
      <c r="AF53"/>
      <c r="AG53"/>
      <c r="AH53"/>
      <c r="AI53"/>
      <c r="AJ53"/>
      <c r="AK53"/>
      <c r="AL53"/>
      <c r="AM53"/>
      <c r="AN53"/>
      <c r="AO53"/>
      <c r="AP53"/>
      <c r="AQ53"/>
      <c r="AR53"/>
      <c r="AS53"/>
      <c r="AT53" s="312"/>
      <c r="AU53"/>
      <c r="AV53" s="314"/>
      <c r="AW53"/>
      <c r="AX53" s="263"/>
      <c r="AY53" s="263"/>
      <c r="AZ53"/>
      <c r="BA53" s="312"/>
      <c r="BB53"/>
      <c r="BC53" s="314"/>
      <c r="BD53"/>
      <c r="BE53" s="314"/>
      <c r="BF53" s="263"/>
      <c r="BG53"/>
      <c r="BH53"/>
      <c r="BI53" s="312"/>
      <c r="BJ53"/>
      <c r="BK53"/>
      <c r="BL53"/>
      <c r="BM53"/>
      <c r="BN53"/>
      <c r="BO53"/>
      <c r="BP53"/>
      <c r="BQ53"/>
      <c r="BR53"/>
      <c r="BS53"/>
      <c r="BT53"/>
      <c r="BU53"/>
      <c r="BV53"/>
      <c r="BW53"/>
      <c r="BX53"/>
      <c r="BY53"/>
      <c r="BZ53" s="14"/>
    </row>
    <row r="54" spans="1:78" x14ac:dyDescent="0.25">
      <c r="A54" s="1" t="str">
        <f>IF(A53&lt;'Project Information'!B$11,A53+1,"")</f>
        <v/>
      </c>
      <c r="B54" s="135">
        <v>0</v>
      </c>
      <c r="C54" s="135">
        <v>0</v>
      </c>
      <c r="D54" s="135">
        <v>0</v>
      </c>
      <c r="E54" s="136">
        <v>0</v>
      </c>
      <c r="F54" s="1"/>
      <c r="G54" s="27">
        <v>0</v>
      </c>
      <c r="H54" s="27">
        <v>0</v>
      </c>
      <c r="I54" s="27">
        <v>0</v>
      </c>
      <c r="J54" s="27">
        <v>0</v>
      </c>
      <c r="K54" s="27">
        <v>0</v>
      </c>
      <c r="L54" s="27">
        <v>0</v>
      </c>
      <c r="M54" s="27">
        <v>0</v>
      </c>
      <c r="N54" s="27">
        <v>0</v>
      </c>
      <c r="O54" s="19">
        <f>IFERROR(VLOOKUP($A54,'Parameter Values'!$A$78:$E$107,2,FALSE),'Parameter Values'!B$107)</f>
        <v>22000</v>
      </c>
      <c r="P54" s="19">
        <f>IFERROR(VLOOKUP($A54,'Parameter Values'!$A$78:$E$107,3,FALSE),'Parameter Values'!C$107)</f>
        <v>61500</v>
      </c>
      <c r="Q54" s="19">
        <f>IFERROR(VLOOKUP($A54,'Parameter Values'!$A$78:$E$107,4,FALSE),'Parameter Values'!D$107)</f>
        <v>1069000</v>
      </c>
      <c r="R54" s="19">
        <f>IFERROR(VLOOKUP($A54,'Parameter Values'!$A$78:$E$107,5,FALSE),'Parameter Values'!E$107)</f>
        <v>349.28095197426484</v>
      </c>
      <c r="S54" s="19">
        <f t="shared" si="0"/>
        <v>0</v>
      </c>
      <c r="T54" s="18">
        <f t="shared" si="1"/>
        <v>0</v>
      </c>
      <c r="AA54" s="13"/>
      <c r="AB54" s="190"/>
      <c r="AC54"/>
      <c r="AD54"/>
      <c r="AE54"/>
      <c r="AF54"/>
      <c r="AG54"/>
      <c r="AH54"/>
      <c r="AI54"/>
      <c r="AJ54"/>
      <c r="AK54"/>
      <c r="AL54"/>
      <c r="AM54"/>
      <c r="AN54"/>
      <c r="AO54"/>
      <c r="AP54"/>
      <c r="AQ54"/>
      <c r="AR54"/>
      <c r="AS54"/>
      <c r="AT54" s="312"/>
      <c r="AU54"/>
      <c r="AV54" s="314"/>
      <c r="AW54"/>
      <c r="AX54" s="263"/>
      <c r="AY54" s="263"/>
      <c r="AZ54"/>
      <c r="BA54" s="312"/>
      <c r="BB54"/>
      <c r="BC54" s="314"/>
      <c r="BD54"/>
      <c r="BE54" s="314"/>
      <c r="BF54" s="263"/>
      <c r="BG54"/>
      <c r="BH54"/>
      <c r="BI54" s="312"/>
      <c r="BJ54"/>
      <c r="BK54"/>
      <c r="BL54"/>
      <c r="BM54"/>
      <c r="BN54"/>
      <c r="BO54"/>
      <c r="BP54"/>
      <c r="BQ54"/>
      <c r="BR54"/>
      <c r="BS54"/>
      <c r="BT54"/>
      <c r="BU54"/>
      <c r="BV54"/>
      <c r="BW54"/>
      <c r="BX54"/>
      <c r="BY54"/>
      <c r="BZ54" s="14"/>
    </row>
    <row r="55" spans="1:78" x14ac:dyDescent="0.25">
      <c r="A55" s="1" t="str">
        <f>IF(A54&lt;'Project Information'!B$11,A54+1,"")</f>
        <v/>
      </c>
      <c r="B55" s="135">
        <v>0</v>
      </c>
      <c r="C55" s="135">
        <v>0</v>
      </c>
      <c r="D55" s="135">
        <v>0</v>
      </c>
      <c r="E55" s="136">
        <v>0</v>
      </c>
      <c r="F55" s="1"/>
      <c r="G55" s="27">
        <v>0</v>
      </c>
      <c r="H55" s="27">
        <v>0</v>
      </c>
      <c r="I55" s="27">
        <v>0</v>
      </c>
      <c r="J55" s="27">
        <v>0</v>
      </c>
      <c r="K55" s="27">
        <v>0</v>
      </c>
      <c r="L55" s="27">
        <v>0</v>
      </c>
      <c r="M55" s="27">
        <v>0</v>
      </c>
      <c r="N55" s="27">
        <v>0</v>
      </c>
      <c r="O55" s="19">
        <f>IFERROR(VLOOKUP($A55,'Parameter Values'!$A$78:$E$107,2,FALSE),'Parameter Values'!B$107)</f>
        <v>22000</v>
      </c>
      <c r="P55" s="19">
        <f>IFERROR(VLOOKUP($A55,'Parameter Values'!$A$78:$E$107,3,FALSE),'Parameter Values'!C$107)</f>
        <v>61500</v>
      </c>
      <c r="Q55" s="19">
        <f>IFERROR(VLOOKUP($A55,'Parameter Values'!$A$78:$E$107,4,FALSE),'Parameter Values'!D$107)</f>
        <v>1069000</v>
      </c>
      <c r="R55" s="19">
        <f>IFERROR(VLOOKUP($A55,'Parameter Values'!$A$78:$E$107,5,FALSE),'Parameter Values'!E$107)</f>
        <v>349.28095197426484</v>
      </c>
      <c r="S55" s="19">
        <f t="shared" si="0"/>
        <v>0</v>
      </c>
      <c r="T55" s="18">
        <f t="shared" si="1"/>
        <v>0</v>
      </c>
      <c r="AA55" s="13"/>
      <c r="AB55" s="378" t="s">
        <v>510</v>
      </c>
      <c r="AC55" s="378"/>
      <c r="AD55" s="378"/>
      <c r="AE55"/>
      <c r="AF55"/>
      <c r="AG55"/>
      <c r="AH55"/>
      <c r="AI55"/>
      <c r="AJ55"/>
      <c r="AK55"/>
      <c r="AL55"/>
      <c r="AM55"/>
      <c r="AN55"/>
      <c r="AO55"/>
      <c r="AP55"/>
      <c r="AQ55"/>
      <c r="AR55"/>
      <c r="AS55"/>
      <c r="AT55" s="312"/>
      <c r="AU55"/>
      <c r="AV55" s="314"/>
      <c r="AW55"/>
      <c r="AX55" s="263"/>
      <c r="AY55" s="263"/>
      <c r="AZ55"/>
      <c r="BA55" s="312"/>
      <c r="BB55"/>
      <c r="BC55" s="314"/>
      <c r="BD55"/>
      <c r="BE55" s="314"/>
      <c r="BF55" s="263"/>
      <c r="BG55"/>
      <c r="BH55"/>
      <c r="BI55" s="312"/>
      <c r="BJ55"/>
      <c r="BK55"/>
      <c r="BL55"/>
      <c r="BM55"/>
      <c r="BN55"/>
      <c r="BO55"/>
      <c r="BP55"/>
      <c r="BQ55"/>
      <c r="BR55"/>
      <c r="BS55"/>
      <c r="BT55"/>
      <c r="BU55"/>
      <c r="BV55"/>
      <c r="BW55"/>
      <c r="BX55"/>
      <c r="BY55"/>
      <c r="BZ55" s="14"/>
    </row>
    <row r="56" spans="1:78" x14ac:dyDescent="0.25">
      <c r="A56" s="1" t="str">
        <f>IF(A55&lt;'Project Information'!B$11,A55+1,"")</f>
        <v/>
      </c>
      <c r="B56" s="135">
        <v>0</v>
      </c>
      <c r="C56" s="135">
        <v>0</v>
      </c>
      <c r="D56" s="135">
        <v>0</v>
      </c>
      <c r="E56" s="136">
        <v>0</v>
      </c>
      <c r="F56" s="1"/>
      <c r="G56" s="27">
        <v>0</v>
      </c>
      <c r="H56" s="27">
        <v>0</v>
      </c>
      <c r="I56" s="27">
        <v>0</v>
      </c>
      <c r="J56" s="27">
        <v>0</v>
      </c>
      <c r="K56" s="27">
        <v>0</v>
      </c>
      <c r="L56" s="27">
        <v>0</v>
      </c>
      <c r="M56" s="27">
        <v>0</v>
      </c>
      <c r="N56" s="27">
        <v>0</v>
      </c>
      <c r="O56" s="19">
        <f>IFERROR(VLOOKUP($A56,'Parameter Values'!$A$78:$E$107,2,FALSE),'Parameter Values'!B$107)</f>
        <v>22000</v>
      </c>
      <c r="P56" s="19">
        <f>IFERROR(VLOOKUP($A56,'Parameter Values'!$A$78:$E$107,3,FALSE),'Parameter Values'!C$107)</f>
        <v>61500</v>
      </c>
      <c r="Q56" s="19">
        <f>IFERROR(VLOOKUP($A56,'Parameter Values'!$A$78:$E$107,4,FALSE),'Parameter Values'!D$107)</f>
        <v>1069000</v>
      </c>
      <c r="R56" s="19">
        <f>IFERROR(VLOOKUP($A56,'Parameter Values'!$A$78:$E$107,5,FALSE),'Parameter Values'!E$107)</f>
        <v>349.28095197426484</v>
      </c>
      <c r="S56" s="19">
        <f t="shared" si="0"/>
        <v>0</v>
      </c>
      <c r="T56" s="18">
        <f t="shared" si="1"/>
        <v>0</v>
      </c>
      <c r="AA56" s="13"/>
      <c r="AB56" s="190"/>
      <c r="AC56"/>
      <c r="AD56"/>
      <c r="AE56"/>
      <c r="AF56"/>
      <c r="AG56"/>
      <c r="AH56"/>
      <c r="AI56"/>
      <c r="AJ56"/>
      <c r="AK56"/>
      <c r="AL56"/>
      <c r="AM56"/>
      <c r="AN56"/>
      <c r="AO56"/>
      <c r="AP56"/>
      <c r="AQ56"/>
      <c r="AR56"/>
      <c r="AS56"/>
      <c r="AT56" s="312"/>
      <c r="AU56"/>
      <c r="AV56" s="314"/>
      <c r="AW56"/>
      <c r="AX56" s="263"/>
      <c r="AY56" s="263"/>
      <c r="AZ56"/>
      <c r="BA56" s="312"/>
      <c r="BB56"/>
      <c r="BC56" s="314"/>
      <c r="BD56"/>
      <c r="BE56" s="314"/>
      <c r="BF56" s="263"/>
      <c r="BG56"/>
      <c r="BH56"/>
      <c r="BI56" s="312"/>
      <c r="BJ56"/>
      <c r="BK56"/>
      <c r="BL56"/>
      <c r="BM56"/>
      <c r="BN56"/>
      <c r="BO56"/>
      <c r="BP56"/>
      <c r="BQ56"/>
      <c r="BR56"/>
      <c r="BS56"/>
      <c r="BT56"/>
      <c r="BU56"/>
      <c r="BV56"/>
      <c r="BW56"/>
      <c r="BX56"/>
      <c r="BY56"/>
      <c r="BZ56" s="14"/>
    </row>
    <row r="57" spans="1:78" ht="18" x14ac:dyDescent="0.25">
      <c r="A57" s="1" t="str">
        <f>IF(A56&lt;'Project Information'!B$11,A56+1,"")</f>
        <v/>
      </c>
      <c r="B57" s="135">
        <v>0</v>
      </c>
      <c r="C57" s="135">
        <v>0</v>
      </c>
      <c r="D57" s="135">
        <v>0</v>
      </c>
      <c r="E57" s="136">
        <v>0</v>
      </c>
      <c r="F57" s="1"/>
      <c r="G57" s="27">
        <v>0</v>
      </c>
      <c r="H57" s="27">
        <v>0</v>
      </c>
      <c r="I57" s="27">
        <v>0</v>
      </c>
      <c r="J57" s="27">
        <v>0</v>
      </c>
      <c r="K57" s="27">
        <v>0</v>
      </c>
      <c r="L57" s="27">
        <v>0</v>
      </c>
      <c r="M57" s="27">
        <v>0</v>
      </c>
      <c r="N57" s="27">
        <v>0</v>
      </c>
      <c r="O57" s="19">
        <f>IFERROR(VLOOKUP($A57,'Parameter Values'!$A$78:$E$107,2,FALSE),'Parameter Values'!B$107)</f>
        <v>22000</v>
      </c>
      <c r="P57" s="19">
        <f>IFERROR(VLOOKUP($A57,'Parameter Values'!$A$78:$E$107,3,FALSE),'Parameter Values'!C$107)</f>
        <v>61500</v>
      </c>
      <c r="Q57" s="19">
        <f>IFERROR(VLOOKUP($A57,'Parameter Values'!$A$78:$E$107,4,FALSE),'Parameter Values'!D$107)</f>
        <v>1069000</v>
      </c>
      <c r="R57" s="19">
        <f>IFERROR(VLOOKUP($A57,'Parameter Values'!$A$78:$E$107,5,FALSE),'Parameter Values'!E$107)</f>
        <v>349.28095197426484</v>
      </c>
      <c r="S57" s="19">
        <f t="shared" si="0"/>
        <v>0</v>
      </c>
      <c r="T57" s="18">
        <f t="shared" si="1"/>
        <v>0</v>
      </c>
      <c r="AA57" s="13"/>
      <c r="AB57" s="181" t="s">
        <v>511</v>
      </c>
      <c r="AC57" s="181" t="s">
        <v>512</v>
      </c>
      <c r="AD57" s="181">
        <v>0.15260000000000001</v>
      </c>
      <c r="AE57"/>
      <c r="AF57"/>
      <c r="AG57"/>
      <c r="AH57"/>
      <c r="AI57"/>
      <c r="AJ57"/>
      <c r="AK57"/>
      <c r="AL57"/>
      <c r="AM57"/>
      <c r="AN57"/>
      <c r="AO57"/>
      <c r="AP57"/>
      <c r="AQ57"/>
      <c r="AR57"/>
      <c r="AS57"/>
      <c r="AT57" s="312"/>
      <c r="AU57"/>
      <c r="AV57" s="314"/>
      <c r="AW57"/>
      <c r="AX57" s="263"/>
      <c r="AY57" s="263"/>
      <c r="AZ57"/>
      <c r="BA57" s="312"/>
      <c r="BB57"/>
      <c r="BC57" s="314"/>
      <c r="BD57"/>
      <c r="BE57" s="314"/>
      <c r="BF57" s="263"/>
      <c r="BG57"/>
      <c r="BH57"/>
      <c r="BI57" s="312"/>
      <c r="BJ57"/>
      <c r="BK57"/>
      <c r="BL57"/>
      <c r="BM57"/>
      <c r="BN57"/>
      <c r="BO57"/>
      <c r="BP57"/>
      <c r="BQ57"/>
      <c r="BR57"/>
      <c r="BS57"/>
      <c r="BT57"/>
      <c r="BU57"/>
      <c r="BV57"/>
      <c r="BW57"/>
      <c r="BX57"/>
      <c r="BY57"/>
      <c r="BZ57" s="14"/>
    </row>
    <row r="58" spans="1:78" ht="18" x14ac:dyDescent="0.25">
      <c r="A58" s="1" t="str">
        <f>IF(A57&lt;'Project Information'!B$11,A57+1,"")</f>
        <v/>
      </c>
      <c r="B58" s="135">
        <v>0</v>
      </c>
      <c r="C58" s="135">
        <v>0</v>
      </c>
      <c r="D58" s="135">
        <v>0</v>
      </c>
      <c r="E58" s="136">
        <v>0</v>
      </c>
      <c r="F58" s="1"/>
      <c r="G58" s="27">
        <v>0</v>
      </c>
      <c r="H58" s="27">
        <v>0</v>
      </c>
      <c r="I58" s="27">
        <v>0</v>
      </c>
      <c r="J58" s="27">
        <v>0</v>
      </c>
      <c r="K58" s="27">
        <v>0</v>
      </c>
      <c r="L58" s="27">
        <v>0</v>
      </c>
      <c r="M58" s="27">
        <v>0</v>
      </c>
      <c r="N58" s="27">
        <v>0</v>
      </c>
      <c r="O58" s="19">
        <f>IFERROR(VLOOKUP($A58,'Parameter Values'!$A$78:$E$107,2,FALSE),'Parameter Values'!B$107)</f>
        <v>22000</v>
      </c>
      <c r="P58" s="19">
        <f>IFERROR(VLOOKUP($A58,'Parameter Values'!$A$78:$E$107,3,FALSE),'Parameter Values'!C$107)</f>
        <v>61500</v>
      </c>
      <c r="Q58" s="19">
        <f>IFERROR(VLOOKUP($A58,'Parameter Values'!$A$78:$E$107,4,FALSE),'Parameter Values'!D$107)</f>
        <v>1069000</v>
      </c>
      <c r="R58" s="19">
        <f>IFERROR(VLOOKUP($A58,'Parameter Values'!$A$78:$E$107,5,FALSE),'Parameter Values'!E$107)</f>
        <v>349.28095197426484</v>
      </c>
      <c r="S58" s="19">
        <f t="shared" si="0"/>
        <v>0</v>
      </c>
      <c r="T58" s="18">
        <f t="shared" si="1"/>
        <v>0</v>
      </c>
      <c r="AA58" s="13"/>
      <c r="AB58" s="181" t="s">
        <v>513</v>
      </c>
      <c r="AC58" s="181" t="s">
        <v>512</v>
      </c>
      <c r="AD58" s="181">
        <v>15.08</v>
      </c>
      <c r="AE58"/>
      <c r="AF58"/>
      <c r="AG58"/>
      <c r="AH58"/>
      <c r="AI58"/>
      <c r="AJ58"/>
      <c r="AK58"/>
      <c r="AL58"/>
      <c r="AM58"/>
      <c r="AN58"/>
      <c r="AO58"/>
      <c r="AP58"/>
      <c r="AQ58"/>
      <c r="AR58"/>
      <c r="AS58"/>
      <c r="AT58" s="312"/>
      <c r="AU58"/>
      <c r="AV58" s="314"/>
      <c r="AW58"/>
      <c r="AX58" s="263"/>
      <c r="AY58" s="263"/>
      <c r="AZ58"/>
      <c r="BA58" s="312"/>
      <c r="BB58"/>
      <c r="BC58" s="314"/>
      <c r="BD58"/>
      <c r="BE58" s="314"/>
      <c r="BF58" s="263"/>
      <c r="BG58"/>
      <c r="BH58"/>
      <c r="BI58" s="312"/>
      <c r="BJ58"/>
      <c r="BK58"/>
      <c r="BL58"/>
      <c r="BM58"/>
      <c r="BN58"/>
      <c r="BO58"/>
      <c r="BP58"/>
      <c r="BQ58"/>
      <c r="BR58"/>
      <c r="BS58"/>
      <c r="BT58"/>
      <c r="BU58"/>
      <c r="BV58"/>
      <c r="BW58"/>
      <c r="BX58"/>
      <c r="BY58"/>
      <c r="BZ58" s="14"/>
    </row>
    <row r="59" spans="1:78" x14ac:dyDescent="0.25">
      <c r="A59" s="1" t="str">
        <f>IF(A58&lt;'Project Information'!B$11,A58+1,"")</f>
        <v/>
      </c>
      <c r="B59" s="135">
        <v>0</v>
      </c>
      <c r="C59" s="135">
        <v>0</v>
      </c>
      <c r="D59" s="135">
        <v>0</v>
      </c>
      <c r="E59" s="136">
        <v>0</v>
      </c>
      <c r="F59" s="1"/>
      <c r="G59" s="27">
        <v>0</v>
      </c>
      <c r="H59" s="27">
        <v>0</v>
      </c>
      <c r="I59" s="27">
        <v>0</v>
      </c>
      <c r="J59" s="27">
        <v>0</v>
      </c>
      <c r="K59" s="27">
        <v>0</v>
      </c>
      <c r="L59" s="27">
        <v>0</v>
      </c>
      <c r="M59" s="27">
        <v>0</v>
      </c>
      <c r="N59" s="27">
        <v>0</v>
      </c>
      <c r="O59" s="19">
        <f>IFERROR(VLOOKUP($A59,'Parameter Values'!$A$78:$E$107,2,FALSE),'Parameter Values'!B$107)</f>
        <v>22000</v>
      </c>
      <c r="P59" s="19">
        <f>IFERROR(VLOOKUP($A59,'Parameter Values'!$A$78:$E$107,3,FALSE),'Parameter Values'!C$107)</f>
        <v>61500</v>
      </c>
      <c r="Q59" s="19">
        <f>IFERROR(VLOOKUP($A59,'Parameter Values'!$A$78:$E$107,4,FALSE),'Parameter Values'!D$107)</f>
        <v>1069000</v>
      </c>
      <c r="R59" s="19">
        <f>IFERROR(VLOOKUP($A59,'Parameter Values'!$A$78:$E$107,5,FALSE),'Parameter Values'!E$107)</f>
        <v>349.28095197426484</v>
      </c>
      <c r="S59" s="19">
        <f t="shared" si="0"/>
        <v>0</v>
      </c>
      <c r="T59" s="18">
        <f t="shared" si="1"/>
        <v>0</v>
      </c>
      <c r="AA59" s="13"/>
      <c r="AB59" s="190"/>
      <c r="AC59"/>
      <c r="AD59"/>
      <c r="AE59"/>
      <c r="AF59"/>
      <c r="AG59"/>
      <c r="AH59"/>
      <c r="AI59"/>
      <c r="AJ59"/>
      <c r="AK59"/>
      <c r="AL59"/>
      <c r="AM59"/>
      <c r="AN59"/>
      <c r="AO59"/>
      <c r="AP59"/>
      <c r="AQ59"/>
      <c r="AR59"/>
      <c r="AS59"/>
      <c r="AT59" s="312"/>
      <c r="AU59"/>
      <c r="AV59" s="252"/>
      <c r="AW59"/>
      <c r="AX59" s="252"/>
      <c r="AY59" s="252"/>
      <c r="AZ59"/>
      <c r="BA59" s="314"/>
      <c r="BB59"/>
      <c r="BC59" s="314"/>
      <c r="BD59"/>
      <c r="BE59" s="314"/>
      <c r="BF59" s="314"/>
      <c r="BG59"/>
      <c r="BH59"/>
      <c r="BI59"/>
      <c r="BJ59"/>
      <c r="BK59"/>
      <c r="BL59"/>
      <c r="BM59"/>
      <c r="BN59"/>
      <c r="BO59"/>
      <c r="BP59"/>
      <c r="BQ59"/>
      <c r="BR59"/>
      <c r="BS59"/>
      <c r="BT59"/>
      <c r="BU59"/>
      <c r="BV59"/>
      <c r="BW59"/>
      <c r="BX59"/>
      <c r="BY59"/>
      <c r="BZ59" s="14"/>
    </row>
    <row r="60" spans="1:78" ht="18" x14ac:dyDescent="0.25">
      <c r="A60" s="1" t="str">
        <f>IF(A59&lt;'Project Information'!B$11,A59+1,"")</f>
        <v/>
      </c>
      <c r="B60" s="135">
        <v>0</v>
      </c>
      <c r="C60" s="135">
        <v>0</v>
      </c>
      <c r="D60" s="135">
        <v>0</v>
      </c>
      <c r="E60" s="136">
        <v>0</v>
      </c>
      <c r="F60" s="1"/>
      <c r="G60" s="27">
        <v>0</v>
      </c>
      <c r="H60" s="27">
        <v>0</v>
      </c>
      <c r="I60" s="27">
        <v>0</v>
      </c>
      <c r="J60" s="27">
        <v>0</v>
      </c>
      <c r="K60" s="27">
        <v>0</v>
      </c>
      <c r="L60" s="27">
        <v>0</v>
      </c>
      <c r="M60" s="27">
        <v>0</v>
      </c>
      <c r="N60" s="27">
        <v>0</v>
      </c>
      <c r="O60" s="19">
        <f>IFERROR(VLOOKUP($A60,'Parameter Values'!$A$78:$E$107,2,FALSE),'Parameter Values'!B$107)</f>
        <v>22000</v>
      </c>
      <c r="P60" s="19">
        <f>IFERROR(VLOOKUP($A60,'Parameter Values'!$A$78:$E$107,3,FALSE),'Parameter Values'!C$107)</f>
        <v>61500</v>
      </c>
      <c r="Q60" s="19">
        <f>IFERROR(VLOOKUP($A60,'Parameter Values'!$A$78:$E$107,4,FALSE),'Parameter Values'!D$107)</f>
        <v>1069000</v>
      </c>
      <c r="R60" s="19">
        <f>IFERROR(VLOOKUP($A60,'Parameter Values'!$A$78:$E$107,5,FALSE),'Parameter Values'!E$107)</f>
        <v>349.28095197426484</v>
      </c>
      <c r="S60" s="19">
        <f t="shared" si="0"/>
        <v>0</v>
      </c>
      <c r="T60" s="18">
        <f t="shared" si="1"/>
        <v>0</v>
      </c>
      <c r="AA60" s="13"/>
      <c r="AB60" s="178" t="s">
        <v>514</v>
      </c>
      <c r="AC60" s="290" t="s">
        <v>515</v>
      </c>
      <c r="AD60" s="293">
        <f>AD57/1000000</f>
        <v>1.526E-7</v>
      </c>
      <c r="AE60"/>
      <c r="AF60"/>
      <c r="AG60"/>
      <c r="AH60"/>
      <c r="AI60"/>
      <c r="AJ60"/>
      <c r="AK60"/>
      <c r="AL60"/>
      <c r="AM60"/>
      <c r="AN60"/>
      <c r="AO60"/>
      <c r="AP60"/>
      <c r="AQ60"/>
      <c r="AR60"/>
      <c r="AS60"/>
      <c r="AT60"/>
      <c r="AU60"/>
      <c r="AV60"/>
      <c r="AW60"/>
      <c r="AX60" s="380"/>
      <c r="AY60" s="380"/>
      <c r="AZ60" s="380"/>
      <c r="BA60" s="380"/>
      <c r="BB60" s="380"/>
      <c r="BC60" s="380"/>
      <c r="BD60" s="380"/>
      <c r="BE60"/>
      <c r="BF60"/>
      <c r="BG60"/>
      <c r="BH60"/>
      <c r="BI60"/>
      <c r="BJ60"/>
      <c r="BK60"/>
      <c r="BL60"/>
      <c r="BM60"/>
      <c r="BN60"/>
      <c r="BO60"/>
      <c r="BP60"/>
      <c r="BQ60"/>
      <c r="BR60"/>
      <c r="BS60"/>
      <c r="BT60"/>
      <c r="BU60"/>
      <c r="BV60"/>
      <c r="BW60"/>
      <c r="BX60"/>
      <c r="BY60"/>
      <c r="BZ60" s="14"/>
    </row>
    <row r="61" spans="1:78" ht="18" x14ac:dyDescent="0.25">
      <c r="A61" s="1" t="str">
        <f>IF(A60&lt;'Project Information'!B$11,A60+1,"")</f>
        <v/>
      </c>
      <c r="B61" s="135">
        <v>0</v>
      </c>
      <c r="C61" s="135">
        <v>0</v>
      </c>
      <c r="D61" s="135">
        <v>0</v>
      </c>
      <c r="E61" s="136">
        <v>0</v>
      </c>
      <c r="F61" s="1"/>
      <c r="G61" s="27">
        <v>0</v>
      </c>
      <c r="H61" s="27">
        <v>0</v>
      </c>
      <c r="I61" s="27">
        <v>0</v>
      </c>
      <c r="J61" s="27">
        <v>0</v>
      </c>
      <c r="K61" s="27">
        <v>0</v>
      </c>
      <c r="L61" s="27">
        <v>0</v>
      </c>
      <c r="M61" s="27">
        <v>0</v>
      </c>
      <c r="N61" s="27">
        <v>0</v>
      </c>
      <c r="O61" s="19">
        <f>IFERROR(VLOOKUP($A61,'Parameter Values'!$A$78:$E$107,2,FALSE),'Parameter Values'!B$107)</f>
        <v>22000</v>
      </c>
      <c r="P61" s="19">
        <f>IFERROR(VLOOKUP($A61,'Parameter Values'!$A$78:$E$107,3,FALSE),'Parameter Values'!C$107)</f>
        <v>61500</v>
      </c>
      <c r="Q61" s="19">
        <f>IFERROR(VLOOKUP($A61,'Parameter Values'!$A$78:$E$107,4,FALSE),'Parameter Values'!D$107)</f>
        <v>1069000</v>
      </c>
      <c r="R61" s="19">
        <f>IFERROR(VLOOKUP($A61,'Parameter Values'!$A$78:$E$107,5,FALSE),'Parameter Values'!E$107)</f>
        <v>349.28095197426484</v>
      </c>
      <c r="S61" s="19">
        <f t="shared" si="0"/>
        <v>0</v>
      </c>
      <c r="T61" s="18">
        <f t="shared" si="1"/>
        <v>0</v>
      </c>
      <c r="AA61" s="13"/>
      <c r="AB61" s="178" t="s">
        <v>516</v>
      </c>
      <c r="AC61" s="290" t="s">
        <v>515</v>
      </c>
      <c r="AD61" s="293">
        <f>AD58/1000000</f>
        <v>1.508E-5</v>
      </c>
      <c r="AE61"/>
      <c r="AF61"/>
      <c r="AG61"/>
      <c r="AH61"/>
      <c r="AI61"/>
      <c r="AJ61"/>
      <c r="AK61"/>
      <c r="AL61"/>
      <c r="AM61"/>
      <c r="AN61"/>
      <c r="AO61"/>
      <c r="AP61"/>
      <c r="AQ61"/>
      <c r="AR61"/>
      <c r="AS61"/>
      <c r="AT61" s="263"/>
      <c r="AU61" s="263"/>
      <c r="AV61" s="263"/>
      <c r="AW61" s="263"/>
      <c r="AX61" s="389"/>
      <c r="AY61" s="389"/>
      <c r="AZ61" s="389"/>
      <c r="BA61" s="387"/>
      <c r="BB61" s="389"/>
      <c r="BC61" s="389"/>
      <c r="BD61" s="389"/>
      <c r="BE61" s="263"/>
      <c r="BF61" s="263"/>
      <c r="BG61"/>
      <c r="BH61"/>
      <c r="BI61"/>
      <c r="BJ61"/>
      <c r="BK61"/>
      <c r="BL61"/>
      <c r="BM61"/>
      <c r="BN61"/>
      <c r="BO61"/>
      <c r="BP61"/>
      <c r="BQ61"/>
      <c r="BR61"/>
      <c r="BS61"/>
      <c r="BT61"/>
      <c r="BU61"/>
      <c r="BV61"/>
      <c r="BW61"/>
      <c r="BX61"/>
      <c r="BY61"/>
      <c r="BZ61" s="14"/>
    </row>
    <row r="62" spans="1:78" x14ac:dyDescent="0.25">
      <c r="A62" s="1" t="str">
        <f>IF(A61&lt;'Project Information'!B$11,A61+1,"")</f>
        <v/>
      </c>
      <c r="B62" s="137">
        <v>0</v>
      </c>
      <c r="C62" s="137">
        <v>0</v>
      </c>
      <c r="D62" s="137">
        <v>0</v>
      </c>
      <c r="E62" s="138">
        <v>0</v>
      </c>
      <c r="F62" s="2"/>
      <c r="G62" s="34">
        <v>0</v>
      </c>
      <c r="H62" s="34">
        <v>0</v>
      </c>
      <c r="I62" s="34">
        <v>0</v>
      </c>
      <c r="J62" s="34">
        <v>0</v>
      </c>
      <c r="K62" s="34">
        <v>0</v>
      </c>
      <c r="L62" s="34">
        <v>0</v>
      </c>
      <c r="M62" s="34">
        <v>0</v>
      </c>
      <c r="N62" s="23">
        <v>0</v>
      </c>
      <c r="O62" s="20">
        <f>IFERROR(VLOOKUP($A62,'Parameter Values'!$A$78:$E$107,2,FALSE),'Parameter Values'!B$107)</f>
        <v>22000</v>
      </c>
      <c r="P62" s="20">
        <f>IFERROR(VLOOKUP($A62,'Parameter Values'!$A$78:$E$107,3,FALSE),'Parameter Values'!C$107)</f>
        <v>61500</v>
      </c>
      <c r="Q62" s="20">
        <f>IFERROR(VLOOKUP($A62,'Parameter Values'!$A$78:$E$107,4,FALSE),'Parameter Values'!D$107)</f>
        <v>1069000</v>
      </c>
      <c r="R62" s="20">
        <f>IFERROR(VLOOKUP($A62,'Parameter Values'!$A$78:$E$107,5,FALSE),'Parameter Values'!E$107)</f>
        <v>349.28095197426484</v>
      </c>
      <c r="S62" s="19">
        <f t="shared" si="0"/>
        <v>0</v>
      </c>
      <c r="T62" s="18">
        <f t="shared" si="1"/>
        <v>0</v>
      </c>
      <c r="AA62" s="13"/>
      <c r="AE62"/>
      <c r="AF62"/>
      <c r="AG62"/>
      <c r="AH62"/>
      <c r="AI62"/>
      <c r="AJ62"/>
      <c r="AK62"/>
      <c r="AL62"/>
      <c r="AM62"/>
      <c r="AN62"/>
      <c r="AO62"/>
      <c r="AP62"/>
      <c r="AQ62"/>
      <c r="AR62"/>
      <c r="AS62"/>
      <c r="AT62"/>
      <c r="AU62"/>
      <c r="AV62"/>
      <c r="AW62"/>
      <c r="AX62" s="380"/>
      <c r="AY62" s="380"/>
      <c r="AZ62" s="380"/>
      <c r="BA62" s="380"/>
      <c r="BB62" s="380"/>
      <c r="BC62" s="380"/>
      <c r="BD62" s="380"/>
      <c r="BE62"/>
      <c r="BF62"/>
      <c r="BG62"/>
      <c r="BH62"/>
      <c r="BI62"/>
      <c r="BJ62"/>
      <c r="BK62"/>
      <c r="BL62"/>
      <c r="BM62"/>
      <c r="BN62"/>
      <c r="BO62"/>
      <c r="BP62"/>
      <c r="BQ62"/>
      <c r="BR62"/>
      <c r="BS62"/>
      <c r="BT62"/>
      <c r="BU62"/>
      <c r="BV62"/>
      <c r="BW62"/>
      <c r="BX62"/>
      <c r="BY62"/>
      <c r="BZ62" s="14"/>
    </row>
    <row r="63" spans="1:78" x14ac:dyDescent="0.25">
      <c r="AA63" s="13"/>
      <c r="AB63" s="257" t="s">
        <v>517</v>
      </c>
      <c r="AE63"/>
      <c r="AF63"/>
      <c r="AG63"/>
      <c r="AH63"/>
      <c r="AI63"/>
      <c r="AJ63"/>
      <c r="AK63"/>
      <c r="AL63"/>
      <c r="AM63"/>
      <c r="AN63"/>
      <c r="AO63"/>
      <c r="AP63"/>
      <c r="AQ63"/>
      <c r="AR63"/>
      <c r="AS63"/>
      <c r="AT63"/>
      <c r="AU63"/>
      <c r="AV63"/>
      <c r="AW63"/>
      <c r="AX63" s="380"/>
      <c r="AY63" s="380"/>
      <c r="AZ63" s="380"/>
      <c r="BA63" s="380"/>
      <c r="BB63" s="380"/>
      <c r="BC63" s="380"/>
      <c r="BD63" s="380"/>
      <c r="BE63"/>
      <c r="BF63"/>
      <c r="BG63"/>
      <c r="BH63"/>
      <c r="BI63"/>
      <c r="BJ63"/>
      <c r="BK63"/>
      <c r="BL63"/>
      <c r="BM63"/>
      <c r="BN63"/>
      <c r="BO63"/>
      <c r="BP63"/>
      <c r="BQ63"/>
      <c r="BR63"/>
      <c r="BS63"/>
      <c r="BT63"/>
      <c r="BU63"/>
      <c r="BV63"/>
      <c r="BW63"/>
      <c r="BX63"/>
      <c r="BY63"/>
      <c r="BZ63" s="14"/>
    </row>
    <row r="64" spans="1:78" x14ac:dyDescent="0.25">
      <c r="AA64" s="13"/>
      <c r="AB64" s="190"/>
      <c r="AC64"/>
      <c r="AD64"/>
      <c r="AE64"/>
      <c r="AF64"/>
      <c r="AG64"/>
      <c r="AH64"/>
      <c r="AI64"/>
      <c r="AJ64"/>
      <c r="AK64"/>
      <c r="AL64"/>
      <c r="AM64"/>
      <c r="AN64"/>
      <c r="AO64"/>
      <c r="AP64"/>
      <c r="AQ64"/>
      <c r="AR64"/>
      <c r="AS64"/>
      <c r="AT64"/>
      <c r="AU64"/>
      <c r="AV64"/>
      <c r="AW64"/>
      <c r="AX64" s="389"/>
      <c r="AY64" s="380"/>
      <c r="AZ64" s="380"/>
      <c r="BA64" s="380"/>
      <c r="BB64" s="380"/>
      <c r="BC64" s="380"/>
      <c r="BD64" s="380"/>
      <c r="BE64"/>
      <c r="BF64"/>
      <c r="BG64"/>
      <c r="BH64"/>
      <c r="BI64"/>
      <c r="BJ64"/>
      <c r="BK64"/>
      <c r="BL64"/>
      <c r="BM64"/>
      <c r="BN64"/>
      <c r="BO64"/>
      <c r="BP64"/>
      <c r="BQ64"/>
      <c r="BR64"/>
      <c r="BS64"/>
      <c r="BT64"/>
      <c r="BU64"/>
      <c r="BV64"/>
      <c r="BW64"/>
      <c r="BX64"/>
      <c r="BY64"/>
      <c r="BZ64" s="14"/>
    </row>
    <row r="65" spans="27:78" x14ac:dyDescent="0.25">
      <c r="AA65" s="13"/>
      <c r="AB65" s="261" t="s">
        <v>518</v>
      </c>
      <c r="AC65"/>
      <c r="AD65"/>
      <c r="AE65"/>
      <c r="AF65"/>
      <c r="AG65"/>
      <c r="AH65"/>
      <c r="AI65"/>
      <c r="AJ65"/>
      <c r="AK65"/>
      <c r="AL65"/>
      <c r="AM65"/>
      <c r="AN65"/>
      <c r="AO65"/>
      <c r="AP65"/>
      <c r="AQ65"/>
      <c r="AR65"/>
      <c r="AS65"/>
      <c r="AT65"/>
      <c r="AU65"/>
      <c r="AV65"/>
      <c r="AW65"/>
      <c r="AX65" s="389"/>
      <c r="AY65" s="380"/>
      <c r="AZ65" s="380"/>
      <c r="BA65" s="380"/>
      <c r="BB65" s="380"/>
      <c r="BC65" s="380"/>
      <c r="BD65" s="380"/>
      <c r="BE65"/>
      <c r="BF65"/>
      <c r="BG65"/>
      <c r="BH65"/>
      <c r="BI65"/>
      <c r="BJ65"/>
      <c r="BK65"/>
      <c r="BL65"/>
      <c r="BM65"/>
      <c r="BN65"/>
      <c r="BO65"/>
      <c r="BP65"/>
      <c r="BQ65"/>
      <c r="BR65"/>
      <c r="BS65"/>
      <c r="BT65"/>
      <c r="BU65"/>
      <c r="BV65"/>
      <c r="BW65"/>
      <c r="BX65"/>
      <c r="BY65"/>
      <c r="BZ65" s="14"/>
    </row>
    <row r="66" spans="27:78" x14ac:dyDescent="0.25">
      <c r="AA66" s="13"/>
      <c r="AB66" s="190"/>
      <c r="AC66"/>
      <c r="AD66"/>
      <c r="AE66"/>
      <c r="AF66"/>
      <c r="AG66"/>
      <c r="AH66"/>
      <c r="AI66"/>
      <c r="AJ66"/>
      <c r="AK66"/>
      <c r="AL66"/>
      <c r="AM66"/>
      <c r="AN66"/>
      <c r="AO66"/>
      <c r="AP66"/>
      <c r="AQ66"/>
      <c r="AR66"/>
      <c r="AS66"/>
      <c r="AT66"/>
      <c r="AU66"/>
      <c r="AV66"/>
      <c r="AW66"/>
      <c r="AX66" s="389"/>
      <c r="AY66" s="380"/>
      <c r="AZ66" s="380"/>
      <c r="BA66" s="380"/>
      <c r="BB66" s="380"/>
      <c r="BC66" s="380"/>
      <c r="BD66" s="380"/>
      <c r="BE66"/>
      <c r="BF66"/>
      <c r="BG66"/>
      <c r="BH66"/>
      <c r="BI66"/>
      <c r="BJ66"/>
      <c r="BK66"/>
      <c r="BL66"/>
      <c r="BM66"/>
      <c r="BN66"/>
      <c r="BO66"/>
      <c r="BP66"/>
      <c r="BQ66"/>
      <c r="BR66"/>
      <c r="BS66"/>
      <c r="BT66"/>
      <c r="BU66"/>
      <c r="BV66"/>
      <c r="BW66"/>
      <c r="BX66"/>
      <c r="BY66"/>
      <c r="BZ66" s="14"/>
    </row>
    <row r="67" spans="27:78" x14ac:dyDescent="0.25">
      <c r="AA67" s="13"/>
      <c r="AB67" s="190"/>
      <c r="AC67"/>
      <c r="AD67"/>
      <c r="AE67"/>
      <c r="AF67"/>
      <c r="AG67"/>
      <c r="AH67"/>
      <c r="AI67"/>
      <c r="AJ67"/>
      <c r="AK67"/>
      <c r="AL67"/>
      <c r="AM67"/>
      <c r="AN67"/>
      <c r="AO67"/>
      <c r="AP67"/>
      <c r="AQ67"/>
      <c r="AR67"/>
      <c r="AS67"/>
      <c r="AT67"/>
      <c r="AU67"/>
      <c r="AV67"/>
      <c r="AW67"/>
      <c r="AX67" s="380"/>
      <c r="AY67" s="380"/>
      <c r="AZ67" s="380"/>
      <c r="BA67" s="380"/>
      <c r="BB67" s="380"/>
      <c r="BC67" s="380"/>
      <c r="BD67" s="380"/>
      <c r="BE67"/>
      <c r="BF67"/>
      <c r="BG67"/>
      <c r="BH67"/>
      <c r="BI67"/>
      <c r="BJ67"/>
      <c r="BK67"/>
      <c r="BL67"/>
      <c r="BM67"/>
      <c r="BN67"/>
      <c r="BO67"/>
      <c r="BP67"/>
      <c r="BQ67"/>
      <c r="BR67"/>
      <c r="BS67"/>
      <c r="BT67"/>
      <c r="BU67"/>
      <c r="BV67"/>
      <c r="BW67"/>
      <c r="BX67"/>
      <c r="BY67"/>
      <c r="BZ67" s="14"/>
    </row>
    <row r="68" spans="27:78" x14ac:dyDescent="0.25">
      <c r="AA68" s="13"/>
      <c r="AB68" s="190"/>
      <c r="AC68"/>
      <c r="AD68"/>
      <c r="AE68"/>
      <c r="AF68"/>
      <c r="AG68"/>
      <c r="AH68"/>
      <c r="AI68"/>
      <c r="AJ68"/>
      <c r="AK68"/>
      <c r="AL68"/>
      <c r="AM68"/>
      <c r="AN68"/>
      <c r="AO68"/>
      <c r="AP68"/>
      <c r="AQ68"/>
      <c r="AR68"/>
      <c r="AS68"/>
      <c r="AT68"/>
      <c r="AU68"/>
      <c r="AV68"/>
      <c r="AW68"/>
      <c r="AX68" s="380"/>
      <c r="AY68" s="380"/>
      <c r="AZ68" s="380"/>
      <c r="BA68" s="380"/>
      <c r="BB68" s="380"/>
      <c r="BC68" s="380"/>
      <c r="BD68" s="380"/>
      <c r="BE68"/>
      <c r="BF68"/>
      <c r="BG68"/>
      <c r="BH68"/>
      <c r="BI68"/>
      <c r="BJ68"/>
      <c r="BK68"/>
      <c r="BL68"/>
      <c r="BM68"/>
      <c r="BN68"/>
      <c r="BO68"/>
      <c r="BP68"/>
      <c r="BQ68"/>
      <c r="BR68"/>
      <c r="BS68"/>
      <c r="BT68"/>
      <c r="BU68"/>
      <c r="BV68"/>
      <c r="BW68"/>
      <c r="BX68"/>
      <c r="BY68"/>
      <c r="BZ68" s="14"/>
    </row>
    <row r="69" spans="27:78" x14ac:dyDescent="0.25">
      <c r="AA69" s="13"/>
      <c r="AB69" s="190"/>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s="14"/>
    </row>
    <row r="70" spans="27:78" x14ac:dyDescent="0.25">
      <c r="AA70" s="13"/>
      <c r="AB70" s="190"/>
      <c r="AC70"/>
      <c r="AD70"/>
      <c r="AE70"/>
      <c r="AF70"/>
      <c r="AG70"/>
      <c r="AH70"/>
      <c r="AI70"/>
      <c r="AJ70"/>
      <c r="AK70"/>
      <c r="AL70"/>
      <c r="AM70"/>
      <c r="AN70"/>
      <c r="AO70"/>
      <c r="AP70"/>
      <c r="AQ70"/>
      <c r="AR70"/>
      <c r="AS70"/>
      <c r="AT70"/>
      <c r="AU70"/>
      <c r="AV70" s="312"/>
      <c r="AW70"/>
      <c r="AX70"/>
      <c r="AY70"/>
      <c r="AZ70"/>
      <c r="BA70"/>
      <c r="BB70"/>
      <c r="BC70"/>
      <c r="BD70"/>
      <c r="BE70"/>
      <c r="BF70"/>
      <c r="BG70"/>
      <c r="BH70"/>
      <c r="BI70"/>
      <c r="BJ70"/>
      <c r="BK70"/>
      <c r="BL70"/>
      <c r="BM70"/>
      <c r="BN70"/>
      <c r="BO70"/>
      <c r="BP70"/>
      <c r="BQ70"/>
      <c r="BR70"/>
      <c r="BS70"/>
      <c r="BT70"/>
      <c r="BU70"/>
      <c r="BV70"/>
      <c r="BW70"/>
      <c r="BX70"/>
      <c r="BY70"/>
      <c r="BZ70" s="14"/>
    </row>
    <row r="71" spans="27:78" x14ac:dyDescent="0.25">
      <c r="AA71" s="13"/>
      <c r="AB71" s="190"/>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s="14"/>
    </row>
    <row r="72" spans="27:78" x14ac:dyDescent="0.25">
      <c r="AA72" s="13"/>
      <c r="AB72" s="190"/>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s="14"/>
    </row>
    <row r="73" spans="27:78" x14ac:dyDescent="0.25">
      <c r="AA73" s="13"/>
      <c r="AB73" s="190"/>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s="14"/>
    </row>
    <row r="74" spans="27:78" x14ac:dyDescent="0.25">
      <c r="AA74" s="13"/>
      <c r="AB74" s="190"/>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s="14"/>
    </row>
    <row r="75" spans="27:78" x14ac:dyDescent="0.25">
      <c r="AA75" s="13"/>
      <c r="AB75" s="190"/>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s="14"/>
    </row>
    <row r="76" spans="27:78" x14ac:dyDescent="0.25">
      <c r="AA76" s="13"/>
      <c r="AB76" s="190"/>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s="14"/>
    </row>
    <row r="77" spans="27:78" x14ac:dyDescent="0.25">
      <c r="AA77" s="13"/>
      <c r="AB77" s="190"/>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s="14"/>
    </row>
    <row r="78" spans="27:78" x14ac:dyDescent="0.25">
      <c r="AA78" s="13"/>
      <c r="AB78" s="190"/>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s="14"/>
    </row>
    <row r="79" spans="27:78" x14ac:dyDescent="0.25">
      <c r="AA79" s="13"/>
      <c r="AB79" s="190"/>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s="14"/>
    </row>
    <row r="80" spans="27:78" x14ac:dyDescent="0.25">
      <c r="AA80" s="13"/>
      <c r="AB80" s="19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s="14"/>
    </row>
    <row r="81" spans="27:78" x14ac:dyDescent="0.25">
      <c r="AA81" s="13"/>
      <c r="AB81" s="190"/>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s="14"/>
    </row>
    <row r="82" spans="27:78" x14ac:dyDescent="0.25">
      <c r="AA82" s="13"/>
      <c r="AB82" s="190"/>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s="14"/>
    </row>
    <row r="83" spans="27:78" x14ac:dyDescent="0.25">
      <c r="AA83" s="13"/>
      <c r="AB83" s="190"/>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s="14"/>
    </row>
    <row r="84" spans="27:78" x14ac:dyDescent="0.25">
      <c r="AA84" s="13"/>
      <c r="AB84" s="190"/>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s="14"/>
    </row>
    <row r="85" spans="27:78" x14ac:dyDescent="0.25">
      <c r="AA85" s="13"/>
      <c r="AB85" s="190"/>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s="14"/>
    </row>
    <row r="86" spans="27:78" x14ac:dyDescent="0.25">
      <c r="AA86" s="13"/>
      <c r="AB86" s="190"/>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s="14"/>
    </row>
    <row r="87" spans="27:78" x14ac:dyDescent="0.25">
      <c r="AA87" s="13"/>
      <c r="AB87" s="190"/>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s="14"/>
    </row>
    <row r="88" spans="27:78" x14ac:dyDescent="0.25">
      <c r="AA88" s="13"/>
      <c r="AB88" s="190"/>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s="14"/>
    </row>
    <row r="89" spans="27:78" x14ac:dyDescent="0.25">
      <c r="AA89" s="13"/>
      <c r="AB89" s="190"/>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s="14"/>
    </row>
    <row r="90" spans="27:78" x14ac:dyDescent="0.25">
      <c r="AA90" s="13"/>
      <c r="AB90" s="1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s="14"/>
    </row>
    <row r="91" spans="27:78" x14ac:dyDescent="0.25">
      <c r="AA91" s="13"/>
      <c r="AB91" s="190"/>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s="14"/>
    </row>
    <row r="92" spans="27:78" x14ac:dyDescent="0.25">
      <c r="AA92" s="13"/>
      <c r="AB92" s="190"/>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s="14"/>
    </row>
    <row r="93" spans="27:78" x14ac:dyDescent="0.25">
      <c r="AA93" s="13"/>
      <c r="AB93" s="190"/>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s="14"/>
    </row>
    <row r="94" spans="27:78" x14ac:dyDescent="0.25">
      <c r="AA94" s="13"/>
      <c r="AB94" s="190"/>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s="14"/>
    </row>
    <row r="95" spans="27:78" x14ac:dyDescent="0.25">
      <c r="AA95" s="13"/>
      <c r="AB95" s="190"/>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s="14"/>
    </row>
    <row r="96" spans="27:78" x14ac:dyDescent="0.25">
      <c r="AA96" s="13"/>
      <c r="AB96" s="190"/>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s="14"/>
    </row>
    <row r="97" spans="27:78" x14ac:dyDescent="0.25">
      <c r="AA97" s="13"/>
      <c r="AB97" s="190"/>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s="14"/>
    </row>
    <row r="98" spans="27:78" x14ac:dyDescent="0.25">
      <c r="AA98" s="13"/>
      <c r="AB98" s="190"/>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s="14"/>
    </row>
    <row r="99" spans="27:78" x14ac:dyDescent="0.25">
      <c r="AA99" s="13"/>
      <c r="AB99" s="190"/>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s="14"/>
    </row>
    <row r="100" spans="27:78" x14ac:dyDescent="0.25">
      <c r="AA100" s="13"/>
      <c r="AB100" s="19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s="14"/>
    </row>
    <row r="101" spans="27:78" x14ac:dyDescent="0.25">
      <c r="AA101" s="13"/>
      <c r="AB101" s="190"/>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s="14"/>
    </row>
    <row r="102" spans="27:78" x14ac:dyDescent="0.25">
      <c r="AA102" s="13"/>
      <c r="AB102" s="190"/>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s="14"/>
    </row>
    <row r="103" spans="27:78" x14ac:dyDescent="0.25">
      <c r="AA103" s="13"/>
      <c r="AB103" s="190"/>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s="14"/>
    </row>
    <row r="104" spans="27:78" x14ac:dyDescent="0.25">
      <c r="AA104" s="13"/>
      <c r="AB104" s="190"/>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s="14"/>
    </row>
    <row r="105" spans="27:78" x14ac:dyDescent="0.25">
      <c r="AA105" s="13"/>
      <c r="AB105" s="190"/>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s="14"/>
    </row>
    <row r="106" spans="27:78" x14ac:dyDescent="0.25">
      <c r="AA106" s="13"/>
      <c r="AB106" s="190"/>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s="14"/>
    </row>
    <row r="107" spans="27:78" x14ac:dyDescent="0.25">
      <c r="AA107" s="13"/>
      <c r="AB107" s="190"/>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s="14"/>
    </row>
    <row r="108" spans="27:78" x14ac:dyDescent="0.25">
      <c r="AA108" s="13"/>
      <c r="AB108" s="190"/>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s="14"/>
    </row>
    <row r="109" spans="27:78" x14ac:dyDescent="0.25">
      <c r="AA109" s="13"/>
      <c r="AB109" s="190"/>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s="14"/>
    </row>
    <row r="110" spans="27:78" x14ac:dyDescent="0.25">
      <c r="AA110" s="13"/>
      <c r="AB110" s="19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s="14"/>
    </row>
    <row r="111" spans="27:78" x14ac:dyDescent="0.25">
      <c r="AA111" s="13"/>
      <c r="AB111" s="190"/>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s="14"/>
    </row>
    <row r="112" spans="27:78" ht="15.75" thickBot="1" x14ac:dyDescent="0.3">
      <c r="AA112" s="15"/>
      <c r="AB112" s="259"/>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7"/>
    </row>
  </sheetData>
  <mergeCells count="2">
    <mergeCell ref="AB55:AD55"/>
    <mergeCell ref="AB34:AD34"/>
  </mergeCells>
  <conditionalFormatting sqref="B33:E62">
    <cfRule type="expression" dxfId="10" priority="1">
      <formula>$A33=""</formula>
    </cfRule>
  </conditionalFormatting>
  <conditionalFormatting sqref="G33:N62">
    <cfRule type="expression" dxfId="9" priority="2">
      <formula>$A33=""</formula>
    </cfRule>
  </conditionalFormatting>
  <hyperlinks>
    <hyperlink ref="AB65" r:id="rId1" xr:uid="{206408FC-1246-474C-B88C-FCA253EC368B}"/>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79B-5621-4FD7-9FF5-8762E5B5030F}">
  <sheetPr>
    <tabColor theme="9" tint="0.39997558519241921"/>
  </sheetPr>
  <dimension ref="A1:BA99"/>
  <sheetViews>
    <sheetView topLeftCell="A12" workbookViewId="0">
      <selection activeCell="C35" sqref="C35"/>
    </sheetView>
  </sheetViews>
  <sheetFormatPr defaultColWidth="9.140625" defaultRowHeight="15" x14ac:dyDescent="0.25"/>
  <cols>
    <col min="1" max="1" width="32" style="5" customWidth="1"/>
    <col min="2" max="2" width="24.42578125" style="5" customWidth="1"/>
    <col min="3" max="3" width="25.7109375" style="5" customWidth="1"/>
    <col min="4" max="4" width="24.42578125" style="5" customWidth="1"/>
    <col min="5" max="7" width="9.140625" style="5"/>
    <col min="8" max="8" width="22.28515625" style="5" bestFit="1" customWidth="1"/>
    <col min="9" max="9" width="27.42578125" style="5" bestFit="1" customWidth="1"/>
    <col min="10" max="10" width="12.140625" style="5" customWidth="1"/>
    <col min="11" max="12" width="27.42578125" style="5" bestFit="1" customWidth="1"/>
    <col min="13" max="16384" width="9.140625" style="5"/>
  </cols>
  <sheetData>
    <row r="1" spans="1:11" ht="20.25" thickBot="1" x14ac:dyDescent="0.35">
      <c r="A1" s="95" t="s">
        <v>6</v>
      </c>
    </row>
    <row r="2" spans="1:11" ht="15.75" thickTop="1" x14ac:dyDescent="0.25">
      <c r="A2" s="151" t="s">
        <v>414</v>
      </c>
      <c r="B2" s="151"/>
      <c r="C2" s="151"/>
      <c r="D2" s="151"/>
      <c r="E2" s="151"/>
      <c r="F2" s="151"/>
      <c r="G2" s="151"/>
      <c r="H2" s="151"/>
      <c r="I2" s="151"/>
    </row>
    <row r="3" spans="1:11" x14ac:dyDescent="0.25">
      <c r="A3" s="5" t="s">
        <v>30</v>
      </c>
    </row>
    <row r="4" spans="1:11" x14ac:dyDescent="0.25">
      <c r="A4" s="152" t="s">
        <v>399</v>
      </c>
      <c r="B4" s="151"/>
      <c r="C4" s="151"/>
      <c r="D4" s="151"/>
      <c r="E4" s="151"/>
      <c r="F4" s="151"/>
      <c r="G4" s="151"/>
      <c r="H4" s="151"/>
      <c r="I4" s="151"/>
      <c r="J4" s="151"/>
      <c r="K4" s="151"/>
    </row>
    <row r="5" spans="1:11" x14ac:dyDescent="0.25">
      <c r="A5" s="38" t="s">
        <v>30</v>
      </c>
    </row>
    <row r="6" spans="1:11" x14ac:dyDescent="0.25">
      <c r="A6" s="96" t="s">
        <v>415</v>
      </c>
    </row>
    <row r="7" spans="1:11" x14ac:dyDescent="0.25">
      <c r="A7" s="116" t="s">
        <v>209</v>
      </c>
      <c r="B7" s="159" t="s">
        <v>519</v>
      </c>
      <c r="C7" s="160" t="s">
        <v>520</v>
      </c>
      <c r="D7" s="161" t="s">
        <v>521</v>
      </c>
    </row>
    <row r="8" spans="1:11" x14ac:dyDescent="0.25">
      <c r="A8" s="42" t="str">
        <f>'Parameter Values'!A231</f>
        <v>Light-Duty Vehicles - Urban</v>
      </c>
      <c r="B8" s="142">
        <f>'Parameter Values'!B231</f>
        <v>0.13800000000000001</v>
      </c>
      <c r="C8" s="143">
        <f>'Parameter Values'!C231</f>
        <v>1.9E-3</v>
      </c>
      <c r="D8" s="141">
        <f>'Parameter Values'!D231</f>
        <v>1.7000000000000001E-2</v>
      </c>
    </row>
    <row r="9" spans="1:11" x14ac:dyDescent="0.25">
      <c r="A9" s="42" t="str">
        <f>'Parameter Values'!A232</f>
        <v>Light-Duty Vehicles - Rural</v>
      </c>
      <c r="B9" s="142">
        <f>'Parameter Values'!B232</f>
        <v>2.9000000000000001E-2</v>
      </c>
      <c r="C9" s="143">
        <f>'Parameter Values'!C232</f>
        <v>2.0000000000000001E-4</v>
      </c>
      <c r="D9" s="141">
        <f>'Parameter Values'!D232</f>
        <v>9.6000000000000002E-2</v>
      </c>
    </row>
    <row r="10" spans="1:11" x14ac:dyDescent="0.25">
      <c r="A10" s="42" t="str">
        <f>'Parameter Values'!A233</f>
        <v>Light-Duty Vehicles – All Locations</v>
      </c>
      <c r="B10" s="142">
        <f>'Parameter Values'!B233</f>
        <v>0.11600000000000001</v>
      </c>
      <c r="C10" s="143">
        <f>'Parameter Values'!C233</f>
        <v>1.1000000000000001E-3</v>
      </c>
      <c r="D10" s="141">
        <f>'Parameter Values'!D233</f>
        <v>0.04</v>
      </c>
    </row>
    <row r="11" spans="1:11" x14ac:dyDescent="0.25">
      <c r="A11" s="42" t="str">
        <f>'Parameter Values'!A234</f>
        <v>Buses and Trucks - Urban</v>
      </c>
      <c r="B11" s="142">
        <f>'Parameter Values'!B234</f>
        <v>0.34499999999999997</v>
      </c>
      <c r="C11" s="143">
        <f>'Parameter Values'!C234</f>
        <v>4.3700000000000003E-2</v>
      </c>
      <c r="D11" s="141">
        <f>'Parameter Values'!D234</f>
        <v>1.6E-2</v>
      </c>
    </row>
    <row r="12" spans="1:11" x14ac:dyDescent="0.25">
      <c r="A12" s="42" t="str">
        <f>'Parameter Values'!A235</f>
        <v>Buses and Trucks - Rural</v>
      </c>
      <c r="B12" s="142">
        <f>'Parameter Values'!B235</f>
        <v>7.4999999999999997E-2</v>
      </c>
      <c r="C12" s="143">
        <f>'Parameter Values'!C235</f>
        <v>3.7000000000000002E-3</v>
      </c>
      <c r="D12" s="141">
        <f>'Parameter Values'!D235</f>
        <v>2.7E-2</v>
      </c>
    </row>
    <row r="13" spans="1:11" x14ac:dyDescent="0.25">
      <c r="A13" s="42" t="str">
        <f>'Parameter Values'!A236</f>
        <v>Buses and Trucks – All Locations</v>
      </c>
      <c r="B13" s="248">
        <f>'Parameter Values'!B236</f>
        <v>0.23599999999999999</v>
      </c>
      <c r="C13" s="249">
        <f>'Parameter Values'!C236</f>
        <v>2.1999999999999999E-2</v>
      </c>
      <c r="D13" s="238">
        <f>'Parameter Values'!D236</f>
        <v>2.1000000000000001E-2</v>
      </c>
    </row>
    <row r="14" spans="1:11" x14ac:dyDescent="0.25">
      <c r="A14" s="42" t="str">
        <f>'Parameter Values'!A237</f>
        <v>All Vehicles - Urban</v>
      </c>
      <c r="B14" s="142">
        <f>'Parameter Values'!B237</f>
        <v>0.154</v>
      </c>
      <c r="C14" s="143">
        <f>'Parameter Values'!C237</f>
        <v>5.1000000000000004E-3</v>
      </c>
      <c r="D14" s="141">
        <f>'Parameter Values'!D237</f>
        <v>1.7000000000000001E-2</v>
      </c>
    </row>
    <row r="15" spans="1:11" x14ac:dyDescent="0.25">
      <c r="A15" s="42" t="str">
        <f>'Parameter Values'!A238</f>
        <v>All Vehicles - Rural</v>
      </c>
      <c r="B15" s="142">
        <f>'Parameter Values'!B238</f>
        <v>3.5999999999999997E-2</v>
      </c>
      <c r="C15" s="143">
        <f>'Parameter Values'!C238</f>
        <v>6.9999999999999999E-4</v>
      </c>
      <c r="D15" s="141">
        <f>'Parameter Values'!D238</f>
        <v>8.5999999999999993E-2</v>
      </c>
    </row>
    <row r="16" spans="1:11" x14ac:dyDescent="0.25">
      <c r="A16" s="42" t="str">
        <f>'Parameter Values'!A239</f>
        <v>All Vehicles – All Locations</v>
      </c>
      <c r="B16" s="142">
        <f>'Parameter Values'!B239</f>
        <v>0.128</v>
      </c>
      <c r="C16" s="143">
        <f>'Parameter Values'!C239</f>
        <v>3.0999999999999999E-3</v>
      </c>
      <c r="D16" s="141">
        <f>'Parameter Values'!D239</f>
        <v>3.7999999999999999E-2</v>
      </c>
    </row>
    <row r="17" spans="1:53" x14ac:dyDescent="0.25">
      <c r="A17" s="38" t="s">
        <v>30</v>
      </c>
    </row>
    <row r="18" spans="1:53" ht="15.75" thickBot="1" x14ac:dyDescent="0.3">
      <c r="A18" s="96" t="s">
        <v>522</v>
      </c>
    </row>
    <row r="19" spans="1:53" x14ac:dyDescent="0.25">
      <c r="A19" s="106" t="s">
        <v>239</v>
      </c>
      <c r="B19" s="107" t="s">
        <v>523</v>
      </c>
      <c r="F19" s="10" t="s">
        <v>238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2"/>
    </row>
    <row r="20" spans="1:53" x14ac:dyDescent="0.25">
      <c r="A20" s="6">
        <f>'Project Information'!$B$9</f>
        <v>2028</v>
      </c>
      <c r="B20" s="163">
        <f>'User Volumes'!K10*($B$13+$C$13)</f>
        <v>752806.69760091882</v>
      </c>
      <c r="F20" s="1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s="14"/>
    </row>
    <row r="21" spans="1:53" x14ac:dyDescent="0.25">
      <c r="A21" s="1">
        <f>IF(A20&lt;'Project Information'!B$11,A20+1,"")</f>
        <v>2029</v>
      </c>
      <c r="B21" s="163">
        <f>'User Volumes'!K11*($B$13+$C$13)</f>
        <v>760334.76457692799</v>
      </c>
      <c r="F21" s="13"/>
      <c r="G21" s="372"/>
      <c r="H21" s="372"/>
      <c r="I21" s="372"/>
      <c r="J21" s="372"/>
      <c r="K21" s="372"/>
      <c r="L21" s="372"/>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s="14"/>
    </row>
    <row r="22" spans="1:53" x14ac:dyDescent="0.25">
      <c r="A22" s="1">
        <f>IF(A21&lt;'Project Information'!B$11,A21+1,"")</f>
        <v>2030</v>
      </c>
      <c r="B22" s="163">
        <f>'User Volumes'!K12*($B$13+$C$13)</f>
        <v>767938.11222269712</v>
      </c>
      <c r="F22" s="13"/>
      <c r="G22" s="232" t="s">
        <v>524</v>
      </c>
      <c r="H22" s="245"/>
      <c r="I22" s="245"/>
      <c r="J22" s="245"/>
      <c r="K22" s="245"/>
      <c r="L22" s="245"/>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s="14"/>
    </row>
    <row r="23" spans="1:53" x14ac:dyDescent="0.25">
      <c r="A23" s="1">
        <f>IF(A22&lt;'Project Information'!B$11,A22+1,"")</f>
        <v>2031</v>
      </c>
      <c r="B23" s="163">
        <f>'User Volumes'!K13*($B$13+$C$13)</f>
        <v>775617.49334492418</v>
      </c>
      <c r="F23" s="1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s="14"/>
    </row>
    <row r="24" spans="1:53" x14ac:dyDescent="0.25">
      <c r="A24" s="1">
        <f>IF(A23&lt;'Project Information'!B$11,A23+1,"")</f>
        <v>2032</v>
      </c>
      <c r="B24" s="163">
        <f>'User Volumes'!K14*($B$13+$C$13)</f>
        <v>783373.66827837331</v>
      </c>
      <c r="F24" s="13"/>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s="14"/>
    </row>
    <row r="25" spans="1:53" x14ac:dyDescent="0.25">
      <c r="A25" s="1">
        <f>IF(A24&lt;'Project Information'!B$11,A24+1,"")</f>
        <v>2033</v>
      </c>
      <c r="B25" s="163">
        <f>'User Volumes'!K15*($B$13+$C$13)</f>
        <v>791207.40496115712</v>
      </c>
      <c r="F25" s="13"/>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s="14"/>
    </row>
    <row r="26" spans="1:53" x14ac:dyDescent="0.25">
      <c r="A26" s="1">
        <f>IF(A25&lt;'Project Information'!B$11,A25+1,"")</f>
        <v>2034</v>
      </c>
      <c r="B26" s="163">
        <f>'User Volumes'!K16*($B$13+$C$13)</f>
        <v>799119.47901076893</v>
      </c>
      <c r="F26" s="13"/>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s="14"/>
    </row>
    <row r="27" spans="1:53" x14ac:dyDescent="0.25">
      <c r="A27" s="1">
        <f>IF(A26&lt;'Project Information'!B$11,A26+1,"")</f>
        <v>2035</v>
      </c>
      <c r="B27" s="163">
        <f>'User Volumes'!K17*($B$13+$C$13)</f>
        <v>807110.67380087636</v>
      </c>
      <c r="F27" s="13"/>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s="14"/>
    </row>
    <row r="28" spans="1:53" x14ac:dyDescent="0.25">
      <c r="A28" s="1">
        <f>IF(A27&lt;'Project Information'!B$11,A27+1,"")</f>
        <v>2036</v>
      </c>
      <c r="B28" s="163">
        <f>'User Volumes'!K18*($B$13+$C$13)</f>
        <v>815181.78053888516</v>
      </c>
      <c r="F28" s="13"/>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s="14"/>
    </row>
    <row r="29" spans="1:53" x14ac:dyDescent="0.25">
      <c r="A29" s="1">
        <f>IF(A28&lt;'Project Information'!B$11,A28+1,"")</f>
        <v>2037</v>
      </c>
      <c r="B29" s="163">
        <f>'User Volumes'!K19*($B$13+$C$13)</f>
        <v>823333.59834427398</v>
      </c>
      <c r="F29" s="13"/>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s="14"/>
    </row>
    <row r="30" spans="1:53" x14ac:dyDescent="0.25">
      <c r="A30" s="1">
        <f>IF(A29&lt;'Project Information'!B$11,A29+1,"")</f>
        <v>2038</v>
      </c>
      <c r="B30" s="163">
        <f>'User Volumes'!K20*($B$13+$C$13)</f>
        <v>831566.93432771682</v>
      </c>
      <c r="F30" s="13"/>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s="14"/>
    </row>
    <row r="31" spans="1:53" x14ac:dyDescent="0.25">
      <c r="A31" s="1">
        <f>IF(A30&lt;'Project Information'!B$11,A30+1,"")</f>
        <v>2039</v>
      </c>
      <c r="B31" s="163">
        <f>'User Volumes'!K21*($B$13+$C$13)</f>
        <v>839882.60367099394</v>
      </c>
      <c r="F31" s="13"/>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s="14"/>
    </row>
    <row r="32" spans="1:53" x14ac:dyDescent="0.25">
      <c r="A32" s="1">
        <f>IF(A31&lt;'Project Information'!B$11,A31+1,"")</f>
        <v>2040</v>
      </c>
      <c r="B32" s="163">
        <f>'User Volumes'!K22*($B$13+$C$13)</f>
        <v>848281.42970770388</v>
      </c>
      <c r="F32" s="13"/>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s="14"/>
    </row>
    <row r="33" spans="1:53" x14ac:dyDescent="0.25">
      <c r="A33" s="1">
        <f>IF(A32&lt;'Project Information'!B$11,A32+1,"")</f>
        <v>2041</v>
      </c>
      <c r="B33" s="163">
        <f>'User Volumes'!K23*($B$13+$C$13)</f>
        <v>856764.24400478089</v>
      </c>
      <c r="F33" s="1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s="14"/>
    </row>
    <row r="34" spans="1:53" x14ac:dyDescent="0.25">
      <c r="A34" s="1">
        <f>IF(A33&lt;'Project Information'!B$11,A33+1,"")</f>
        <v>2042</v>
      </c>
      <c r="B34" s="163">
        <f>'User Volumes'!K24*($B$13+$C$13)</f>
        <v>865331.88644482871</v>
      </c>
      <c r="F34" s="13"/>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s="14"/>
    </row>
    <row r="35" spans="1:53" x14ac:dyDescent="0.25">
      <c r="A35" s="1">
        <f>IF(A34&lt;'Project Information'!B$11,A34+1,"")</f>
        <v>2043</v>
      </c>
      <c r="B35" s="163">
        <f>'User Volumes'!K25*($B$13+$C$13)</f>
        <v>873985.20530927693</v>
      </c>
      <c r="F35" s="13"/>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s="14"/>
    </row>
    <row r="36" spans="1:53" x14ac:dyDescent="0.25">
      <c r="A36" s="1">
        <f>IF(A35&lt;'Project Information'!B$11,A35+1,"")</f>
        <v>2044</v>
      </c>
      <c r="B36" s="163">
        <f>'User Volumes'!K26*($B$13+$C$13)</f>
        <v>882725.05736236973</v>
      </c>
      <c r="F36" s="13"/>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s="14"/>
    </row>
    <row r="37" spans="1:53" x14ac:dyDescent="0.25">
      <c r="A37" s="1">
        <f>IF(A36&lt;'Project Information'!B$11,A36+1,"")</f>
        <v>2045</v>
      </c>
      <c r="B37" s="163">
        <f>'User Volumes'!K27*($B$13+$C$13)</f>
        <v>891552.30793599342</v>
      </c>
      <c r="F37" s="13"/>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s="14"/>
    </row>
    <row r="38" spans="1:53" x14ac:dyDescent="0.25">
      <c r="A38" s="1">
        <f>IF(A37&lt;'Project Information'!B$11,A37+1,"")</f>
        <v>2046</v>
      </c>
      <c r="B38" s="163">
        <f>'User Volumes'!K28*($B$13+$C$13)</f>
        <v>900467.83101535356</v>
      </c>
      <c r="F38" s="13"/>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s="14"/>
    </row>
    <row r="39" spans="1:53" x14ac:dyDescent="0.25">
      <c r="A39" s="1">
        <f>IF(A38&lt;'Project Information'!B$11,A38+1,"")</f>
        <v>2047</v>
      </c>
      <c r="B39" s="163">
        <f>'User Volumes'!K29*($B$13+$C$13)</f>
        <v>909472.50932550698</v>
      </c>
      <c r="F39" s="13"/>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s="14"/>
    </row>
    <row r="40" spans="1:53" x14ac:dyDescent="0.25">
      <c r="A40" s="1" t="str">
        <f>IF(A39&lt;'Project Information'!B$11,A39+1,"")</f>
        <v/>
      </c>
      <c r="B40" s="163">
        <v>0</v>
      </c>
      <c r="F40" s="13"/>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s="14"/>
    </row>
    <row r="41" spans="1:53" x14ac:dyDescent="0.25">
      <c r="A41" s="1" t="str">
        <f>IF(A40&lt;'Project Information'!B$11,A40+1,"")</f>
        <v/>
      </c>
      <c r="B41" s="163">
        <v>0</v>
      </c>
      <c r="F41" s="13"/>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s="14"/>
    </row>
    <row r="42" spans="1:53" x14ac:dyDescent="0.25">
      <c r="A42" s="1" t="str">
        <f>IF(A41&lt;'Project Information'!B$11,A41+1,"")</f>
        <v/>
      </c>
      <c r="B42" s="163">
        <v>0</v>
      </c>
      <c r="F42" s="13"/>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s="14"/>
    </row>
    <row r="43" spans="1:53" x14ac:dyDescent="0.25">
      <c r="A43" s="1" t="str">
        <f>IF(A42&lt;'Project Information'!B$11,A42+1,"")</f>
        <v/>
      </c>
      <c r="B43" s="163">
        <v>0</v>
      </c>
      <c r="F43" s="1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s="14"/>
    </row>
    <row r="44" spans="1:53" x14ac:dyDescent="0.25">
      <c r="A44" s="1" t="str">
        <f>IF(A43&lt;'Project Information'!B$11,A43+1,"")</f>
        <v/>
      </c>
      <c r="B44" s="163">
        <v>0</v>
      </c>
      <c r="F44" s="13"/>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s="14"/>
    </row>
    <row r="45" spans="1:53" x14ac:dyDescent="0.25">
      <c r="A45" s="1" t="str">
        <f>IF(A44&lt;'Project Information'!B$11,A44+1,"")</f>
        <v/>
      </c>
      <c r="B45" s="163">
        <v>0</v>
      </c>
      <c r="F45" s="13"/>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s="14"/>
    </row>
    <row r="46" spans="1:53" x14ac:dyDescent="0.25">
      <c r="A46" s="1" t="str">
        <f>IF(A45&lt;'Project Information'!B$11,A45+1,"")</f>
        <v/>
      </c>
      <c r="B46" s="163">
        <v>0</v>
      </c>
      <c r="F46" s="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s="14"/>
    </row>
    <row r="47" spans="1:53" x14ac:dyDescent="0.25">
      <c r="A47" s="1" t="str">
        <f>IF(A46&lt;'Project Information'!B$11,A46+1,"")</f>
        <v/>
      </c>
      <c r="B47" s="163">
        <v>0</v>
      </c>
      <c r="F47" s="13"/>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s="14"/>
    </row>
    <row r="48" spans="1:53" x14ac:dyDescent="0.25">
      <c r="A48" s="1" t="str">
        <f>IF(A47&lt;'Project Information'!B$11,A47+1,"")</f>
        <v/>
      </c>
      <c r="B48" s="163">
        <v>0</v>
      </c>
      <c r="F48" s="13"/>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s="14"/>
    </row>
    <row r="49" spans="1:53" x14ac:dyDescent="0.25">
      <c r="A49" s="2" t="str">
        <f>IF(A48&lt;'Project Information'!B$11,A48+1,"")</f>
        <v/>
      </c>
      <c r="B49" s="119">
        <v>0</v>
      </c>
      <c r="F49" s="13"/>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s="14"/>
    </row>
    <row r="50" spans="1:53" x14ac:dyDescent="0.25">
      <c r="F50" s="13"/>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s="14"/>
    </row>
    <row r="51" spans="1:53" x14ac:dyDescent="0.25">
      <c r="F51" s="13"/>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s="14"/>
    </row>
    <row r="52" spans="1:53" x14ac:dyDescent="0.25">
      <c r="F52" s="13"/>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s="14"/>
    </row>
    <row r="53" spans="1:53" x14ac:dyDescent="0.25">
      <c r="F53" s="1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s="14"/>
    </row>
    <row r="54" spans="1:53" x14ac:dyDescent="0.25">
      <c r="F54" s="13"/>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s="14"/>
    </row>
    <row r="55" spans="1:53" x14ac:dyDescent="0.25">
      <c r="F55" s="13"/>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s="14"/>
    </row>
    <row r="56" spans="1:53" x14ac:dyDescent="0.25">
      <c r="F56" s="13"/>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s="14"/>
    </row>
    <row r="57" spans="1:53" x14ac:dyDescent="0.25">
      <c r="F57" s="13"/>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s="14"/>
    </row>
    <row r="58" spans="1:53" x14ac:dyDescent="0.25">
      <c r="F58" s="13"/>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s="14"/>
    </row>
    <row r="59" spans="1:53" x14ac:dyDescent="0.25">
      <c r="F59" s="13"/>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s="14"/>
    </row>
    <row r="60" spans="1:53" x14ac:dyDescent="0.25">
      <c r="F60" s="13"/>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s="14"/>
    </row>
    <row r="61" spans="1:53" x14ac:dyDescent="0.25">
      <c r="F61" s="13"/>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s="14"/>
    </row>
    <row r="62" spans="1:53" x14ac:dyDescent="0.25">
      <c r="F62" s="13"/>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s="14"/>
    </row>
    <row r="63" spans="1:53" x14ac:dyDescent="0.25">
      <c r="F63" s="1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s="14"/>
    </row>
    <row r="64" spans="1:53" x14ac:dyDescent="0.25">
      <c r="F64" s="13"/>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s="14"/>
    </row>
    <row r="65" spans="6:53" x14ac:dyDescent="0.25">
      <c r="F65" s="13"/>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s="14"/>
    </row>
    <row r="66" spans="6:53" x14ac:dyDescent="0.25">
      <c r="F66" s="13"/>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s="14"/>
    </row>
    <row r="67" spans="6:53" x14ac:dyDescent="0.25">
      <c r="F67" s="13"/>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s="14"/>
    </row>
    <row r="68" spans="6:53" x14ac:dyDescent="0.25">
      <c r="F68" s="13"/>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s="14"/>
    </row>
    <row r="69" spans="6:53" x14ac:dyDescent="0.25">
      <c r="F69" s="13"/>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s="14"/>
    </row>
    <row r="70" spans="6:53" x14ac:dyDescent="0.25">
      <c r="F70" s="13"/>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s="14"/>
    </row>
    <row r="71" spans="6:53" x14ac:dyDescent="0.25">
      <c r="F71" s="13"/>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s="14"/>
    </row>
    <row r="72" spans="6:53" x14ac:dyDescent="0.25">
      <c r="F72" s="13"/>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s="14"/>
    </row>
    <row r="73" spans="6:53" x14ac:dyDescent="0.25">
      <c r="F73" s="1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s="14"/>
    </row>
    <row r="74" spans="6:53" x14ac:dyDescent="0.25">
      <c r="F74" s="13"/>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s="14"/>
    </row>
    <row r="75" spans="6:53" x14ac:dyDescent="0.25">
      <c r="F75" s="13"/>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s="14"/>
    </row>
    <row r="76" spans="6:53" x14ac:dyDescent="0.25">
      <c r="F76" s="13"/>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s="14"/>
    </row>
    <row r="77" spans="6:53" x14ac:dyDescent="0.25">
      <c r="F77" s="13"/>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s="14"/>
    </row>
    <row r="78" spans="6:53" x14ac:dyDescent="0.25">
      <c r="F78" s="1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s="14"/>
    </row>
    <row r="79" spans="6:53" x14ac:dyDescent="0.25">
      <c r="F79" s="13"/>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s="14"/>
    </row>
    <row r="80" spans="6:53" x14ac:dyDescent="0.25">
      <c r="F80" s="13"/>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s="14"/>
    </row>
    <row r="81" spans="6:53" x14ac:dyDescent="0.25">
      <c r="F81" s="13"/>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s="14"/>
    </row>
    <row r="82" spans="6:53" x14ac:dyDescent="0.25">
      <c r="F82" s="13"/>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s="14"/>
    </row>
    <row r="83" spans="6:53" x14ac:dyDescent="0.25">
      <c r="F83" s="1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s="14"/>
    </row>
    <row r="84" spans="6:53" x14ac:dyDescent="0.25">
      <c r="F84" s="13"/>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s="14"/>
    </row>
    <row r="85" spans="6:53" x14ac:dyDescent="0.25">
      <c r="F85" s="13"/>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s="14"/>
    </row>
    <row r="86" spans="6:53" x14ac:dyDescent="0.25">
      <c r="F86" s="13"/>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s="14"/>
    </row>
    <row r="87" spans="6:53" x14ac:dyDescent="0.25">
      <c r="F87" s="13"/>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s="14"/>
    </row>
    <row r="88" spans="6:53" x14ac:dyDescent="0.25">
      <c r="F88" s="13"/>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s="14"/>
    </row>
    <row r="89" spans="6:53" x14ac:dyDescent="0.25">
      <c r="F89" s="13"/>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s="14"/>
    </row>
    <row r="90" spans="6:53" x14ac:dyDescent="0.25">
      <c r="F90" s="13"/>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s="14"/>
    </row>
    <row r="91" spans="6:53" x14ac:dyDescent="0.25">
      <c r="F91" s="13"/>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s="14"/>
    </row>
    <row r="92" spans="6:53" x14ac:dyDescent="0.25">
      <c r="F92" s="13"/>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s="14"/>
    </row>
    <row r="93" spans="6:53" x14ac:dyDescent="0.25">
      <c r="F93" s="1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s="14"/>
    </row>
    <row r="94" spans="6:53" x14ac:dyDescent="0.25">
      <c r="F94" s="13"/>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s="14"/>
    </row>
    <row r="95" spans="6:53" x14ac:dyDescent="0.25">
      <c r="F95" s="13"/>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s="14"/>
    </row>
    <row r="96" spans="6:53" x14ac:dyDescent="0.25">
      <c r="F96" s="13"/>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s="14"/>
    </row>
    <row r="97" spans="6:53" x14ac:dyDescent="0.25">
      <c r="F97" s="13"/>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s="14"/>
    </row>
    <row r="98" spans="6:53" x14ac:dyDescent="0.25">
      <c r="F98" s="13"/>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s="14"/>
    </row>
    <row r="99" spans="6:53" ht="15.75" thickBot="1" x14ac:dyDescent="0.3">
      <c r="F99" s="15"/>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7"/>
    </row>
  </sheetData>
  <mergeCells count="2">
    <mergeCell ref="G21:I21"/>
    <mergeCell ref="J21:L21"/>
  </mergeCells>
  <conditionalFormatting sqref="B20:B49">
    <cfRule type="expression" dxfId="8" priority="1">
      <formula>A20=""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82A7-60FE-4049-9E01-0156D8D060ED}">
  <sheetPr>
    <tabColor theme="9" tint="0.39997558519241921"/>
  </sheetPr>
  <dimension ref="A1:AZ90"/>
  <sheetViews>
    <sheetView workbookViewId="0"/>
  </sheetViews>
  <sheetFormatPr defaultColWidth="9.140625" defaultRowHeight="15" x14ac:dyDescent="0.25"/>
  <cols>
    <col min="1" max="1" width="26.42578125" style="5" customWidth="1"/>
    <col min="2" max="2" width="28.85546875" style="5" customWidth="1"/>
    <col min="3" max="16384" width="9.140625" style="5"/>
  </cols>
  <sheetData>
    <row r="1" spans="1:52" ht="20.25" thickBot="1" x14ac:dyDescent="0.35">
      <c r="A1" s="95" t="s">
        <v>525</v>
      </c>
    </row>
    <row r="2" spans="1:52" ht="15.75" thickTop="1" x14ac:dyDescent="0.25">
      <c r="A2" s="151" t="s">
        <v>414</v>
      </c>
      <c r="B2" s="151"/>
      <c r="C2" s="151"/>
      <c r="D2" s="151"/>
      <c r="E2" s="151"/>
      <c r="F2" s="151"/>
      <c r="G2" s="151"/>
      <c r="H2" s="151"/>
      <c r="I2" s="151"/>
      <c r="J2" s="151"/>
      <c r="K2" s="151"/>
    </row>
    <row r="3" spans="1:52" x14ac:dyDescent="0.25">
      <c r="A3" s="5" t="s">
        <v>30</v>
      </c>
    </row>
    <row r="4" spans="1:52" x14ac:dyDescent="0.25">
      <c r="A4" s="152" t="s">
        <v>399</v>
      </c>
      <c r="B4" s="151"/>
      <c r="C4" s="151"/>
      <c r="D4" s="151"/>
      <c r="E4" s="151"/>
      <c r="F4" s="151"/>
      <c r="G4" s="151"/>
      <c r="H4" s="151"/>
      <c r="I4" s="151"/>
      <c r="J4" s="151"/>
      <c r="K4" s="151"/>
      <c r="L4" s="151"/>
      <c r="M4" s="151"/>
      <c r="N4" s="151"/>
    </row>
    <row r="5" spans="1:52" x14ac:dyDescent="0.25">
      <c r="A5" s="38" t="s">
        <v>30</v>
      </c>
    </row>
    <row r="6" spans="1:52" x14ac:dyDescent="0.25">
      <c r="A6" s="152" t="s">
        <v>526</v>
      </c>
      <c r="B6" s="151"/>
      <c r="C6" s="151"/>
      <c r="D6" s="151"/>
      <c r="E6" s="151"/>
    </row>
    <row r="7" spans="1:52" x14ac:dyDescent="0.25">
      <c r="A7" s="152" t="s">
        <v>527</v>
      </c>
      <c r="B7" s="151"/>
      <c r="C7" s="151"/>
      <c r="D7" s="151"/>
      <c r="E7" s="151"/>
      <c r="F7" s="151"/>
      <c r="G7" s="151"/>
      <c r="H7" s="151"/>
    </row>
    <row r="8" spans="1:52" x14ac:dyDescent="0.25">
      <c r="A8" s="5" t="s">
        <v>30</v>
      </c>
    </row>
    <row r="9" spans="1:52" ht="15.75" thickBot="1" x14ac:dyDescent="0.3">
      <c r="A9" s="96" t="s">
        <v>528</v>
      </c>
    </row>
    <row r="10" spans="1:52" x14ac:dyDescent="0.25">
      <c r="A10" s="106" t="s">
        <v>239</v>
      </c>
      <c r="B10" s="107" t="s">
        <v>525</v>
      </c>
      <c r="E10" s="10" t="s">
        <v>238</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row>
    <row r="11" spans="1:52" x14ac:dyDescent="0.25">
      <c r="A11" s="6">
        <f>'Project Information'!$B$9</f>
        <v>2028</v>
      </c>
      <c r="B11" s="163">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
        <f>IF(A11&lt;'Project Information'!B$11,A11+1,"")</f>
        <v>2029</v>
      </c>
      <c r="B12" s="163">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
        <f>IF(A12&lt;'Project Information'!B$11,A12+1,"")</f>
        <v>2030</v>
      </c>
      <c r="B13" s="163">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
        <f>IF(A13&lt;'Project Information'!B$11,A13+1,"")</f>
        <v>2031</v>
      </c>
      <c r="B14" s="163">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
        <f>IF(A14&lt;'Project Information'!B$11,A14+1,"")</f>
        <v>2032</v>
      </c>
      <c r="B15" s="163">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
        <f>IF(A15&lt;'Project Information'!B$11,A15+1,"")</f>
        <v>2033</v>
      </c>
      <c r="B16" s="163">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
        <f>IF(A16&lt;'Project Information'!B$11,A16+1,"")</f>
        <v>2034</v>
      </c>
      <c r="B17" s="163">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
        <f>IF(A17&lt;'Project Information'!B$11,A17+1,"")</f>
        <v>2035</v>
      </c>
      <c r="B18" s="163">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
        <f>IF(A18&lt;'Project Information'!B$11,A18+1,"")</f>
        <v>2036</v>
      </c>
      <c r="B19" s="163">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
        <f>IF(A19&lt;'Project Information'!B$11,A19+1,"")</f>
        <v>2037</v>
      </c>
      <c r="B20" s="163">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
        <f>IF(A20&lt;'Project Information'!B$11,A20+1,"")</f>
        <v>2038</v>
      </c>
      <c r="B21" s="163">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
        <f>IF(A21&lt;'Project Information'!B$11,A21+1,"")</f>
        <v>2039</v>
      </c>
      <c r="B22" s="163">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
        <f>IF(A22&lt;'Project Information'!B$11,A22+1,"")</f>
        <v>2040</v>
      </c>
      <c r="B23" s="163">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
        <f>IF(A23&lt;'Project Information'!B$11,A23+1,"")</f>
        <v>2041</v>
      </c>
      <c r="B24" s="163">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
        <f>IF(A24&lt;'Project Information'!B$11,A24+1,"")</f>
        <v>2042</v>
      </c>
      <c r="B25" s="163">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
        <f>IF(A25&lt;'Project Information'!B$11,A25+1,"")</f>
        <v>2043</v>
      </c>
      <c r="B26" s="163">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
        <f>IF(A26&lt;'Project Information'!B$11,A26+1,"")</f>
        <v>2044</v>
      </c>
      <c r="B27" s="163">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
        <f>IF(A27&lt;'Project Information'!B$11,A27+1,"")</f>
        <v>2045</v>
      </c>
      <c r="B28" s="163">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
        <f>IF(A28&lt;'Project Information'!B$11,A28+1,"")</f>
        <v>2046</v>
      </c>
      <c r="B29" s="163">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
        <f>IF(A29&lt;'Project Information'!B$11,A29+1,"")</f>
        <v>2047</v>
      </c>
      <c r="B30" s="163">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 t="str">
        <f>IF(A30&lt;'Project Information'!B$11,A30+1,"")</f>
        <v/>
      </c>
      <c r="B31" s="163">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 t="str">
        <f>IF(A31&lt;'Project Information'!B$11,A31+1,"")</f>
        <v/>
      </c>
      <c r="B32" s="163">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 t="str">
        <f>IF(A32&lt;'Project Information'!B$11,A32+1,"")</f>
        <v/>
      </c>
      <c r="B33" s="163">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 t="str">
        <f>IF(A33&lt;'Project Information'!B$11,A33+1,"")</f>
        <v/>
      </c>
      <c r="B34" s="163">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 t="str">
        <f>IF(A34&lt;'Project Information'!B$11,A34+1,"")</f>
        <v/>
      </c>
      <c r="B35" s="163">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 t="str">
        <f>IF(A35&lt;'Project Information'!B$11,A35+1,"")</f>
        <v/>
      </c>
      <c r="B36" s="163">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 t="str">
        <f>IF(A36&lt;'Project Information'!B$11,A36+1,"")</f>
        <v/>
      </c>
      <c r="B37" s="163">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 t="str">
        <f>IF(A37&lt;'Project Information'!B$11,A37+1,"")</f>
        <v/>
      </c>
      <c r="B38" s="163">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 t="str">
        <f>IF(A38&lt;'Project Information'!B$11,A38+1,"")</f>
        <v/>
      </c>
      <c r="B39" s="163">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2" t="str">
        <f>IF(A39&lt;'Project Information'!B$11,A39+1,"")</f>
        <v/>
      </c>
      <c r="B40" s="119">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ht="15.75" thickBot="1" x14ac:dyDescent="0.3">
      <c r="E90" s="15"/>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7"/>
    </row>
  </sheetData>
  <conditionalFormatting sqref="B11:B40">
    <cfRule type="expression" dxfId="7" priority="1">
      <formula>A11=""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E6D4-7F6C-4AC2-AF83-FF0176DC6AB8}">
  <sheetPr>
    <tabColor theme="9" tint="0.39997558519241921"/>
  </sheetPr>
  <dimension ref="A1:AZ94"/>
  <sheetViews>
    <sheetView workbookViewId="0"/>
  </sheetViews>
  <sheetFormatPr defaultColWidth="9.140625" defaultRowHeight="15" x14ac:dyDescent="0.25"/>
  <cols>
    <col min="1" max="1" width="27.28515625" style="5" customWidth="1"/>
    <col min="2" max="2" width="40.7109375" style="5" customWidth="1"/>
    <col min="3" max="3" width="24.42578125" style="5" customWidth="1"/>
    <col min="4" max="16384" width="9.140625" style="5"/>
  </cols>
  <sheetData>
    <row r="1" spans="1:52" ht="20.25" thickBot="1" x14ac:dyDescent="0.35">
      <c r="A1" s="95" t="s">
        <v>529</v>
      </c>
    </row>
    <row r="2" spans="1:52" ht="15.75" thickTop="1" x14ac:dyDescent="0.25">
      <c r="A2" s="151" t="s">
        <v>414</v>
      </c>
      <c r="B2" s="151"/>
      <c r="C2" s="151"/>
      <c r="D2" s="151"/>
      <c r="E2" s="151"/>
      <c r="F2" s="151"/>
      <c r="G2" s="151"/>
      <c r="H2" s="151"/>
    </row>
    <row r="3" spans="1:52" x14ac:dyDescent="0.25">
      <c r="A3" s="5" t="s">
        <v>30</v>
      </c>
    </row>
    <row r="4" spans="1:52" x14ac:dyDescent="0.25">
      <c r="A4" s="152" t="s">
        <v>399</v>
      </c>
      <c r="B4" s="151"/>
      <c r="C4" s="151"/>
      <c r="D4" s="151"/>
      <c r="E4" s="151"/>
      <c r="F4" s="151"/>
      <c r="G4" s="151"/>
      <c r="H4" s="151"/>
      <c r="I4" s="151"/>
      <c r="J4" s="151"/>
      <c r="K4" s="151"/>
    </row>
    <row r="5" spans="1:52" x14ac:dyDescent="0.25">
      <c r="A5" s="38" t="s">
        <v>30</v>
      </c>
    </row>
    <row r="6" spans="1:52" x14ac:dyDescent="0.25">
      <c r="A6" s="96" t="s">
        <v>415</v>
      </c>
    </row>
    <row r="7" spans="1:52" ht="30" x14ac:dyDescent="0.25">
      <c r="A7" s="116" t="s">
        <v>197</v>
      </c>
      <c r="B7" s="116" t="s">
        <v>530</v>
      </c>
      <c r="C7" s="117" t="s">
        <v>531</v>
      </c>
    </row>
    <row r="8" spans="1:52" x14ac:dyDescent="0.25">
      <c r="A8" s="42" t="s">
        <v>532</v>
      </c>
      <c r="B8" s="42" t="str">
        <f>'Parameter Values'!B220</f>
        <v>Ages 20-74</v>
      </c>
      <c r="C8" s="43">
        <f>'Parameter Values'!C220</f>
        <v>7.63</v>
      </c>
    </row>
    <row r="9" spans="1:52" x14ac:dyDescent="0.25">
      <c r="A9" s="42" t="s">
        <v>533</v>
      </c>
      <c r="B9" s="42" t="str">
        <f>'Parameter Values'!B221</f>
        <v>Ages 20-64</v>
      </c>
      <c r="C9" s="43">
        <f>'Parameter Values'!C221</f>
        <v>6.8</v>
      </c>
    </row>
    <row r="10" spans="1:52" x14ac:dyDescent="0.25">
      <c r="A10" s="151" t="str">
        <f>RIGHT('Parameter Values'!A225,LEN('Parameter Values'!A225)-5)</f>
        <v>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v>
      </c>
      <c r="B10" s="151"/>
      <c r="C10" s="151"/>
      <c r="D10" s="151"/>
      <c r="E10" s="151"/>
      <c r="F10" s="151"/>
      <c r="G10" s="151"/>
      <c r="H10" s="151"/>
      <c r="I10" s="151"/>
      <c r="J10" s="151"/>
      <c r="K10" s="151"/>
      <c r="L10" s="151"/>
      <c r="M10" s="151"/>
      <c r="N10" s="151"/>
      <c r="O10" s="151"/>
      <c r="P10" s="151"/>
      <c r="Q10" s="151"/>
      <c r="R10" s="151"/>
      <c r="S10" s="151"/>
      <c r="T10" s="151"/>
      <c r="U10" s="151"/>
      <c r="V10" s="151"/>
      <c r="W10" s="151"/>
    </row>
    <row r="11" spans="1:52" x14ac:dyDescent="0.25">
      <c r="A11" s="151" t="str">
        <f>RIGHT('Parameter Values'!A226,LEN('Parameter Values'!A226)-5)</f>
        <v xml:space="preserve">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row>
    <row r="12" spans="1:52" x14ac:dyDescent="0.25">
      <c r="A12" s="38" t="s">
        <v>30</v>
      </c>
    </row>
    <row r="13" spans="1:52" ht="15.75" thickBot="1" x14ac:dyDescent="0.3">
      <c r="A13" s="96" t="s">
        <v>534</v>
      </c>
    </row>
    <row r="14" spans="1:52" x14ac:dyDescent="0.25">
      <c r="A14" s="106" t="s">
        <v>239</v>
      </c>
      <c r="B14" s="107" t="s">
        <v>529</v>
      </c>
      <c r="E14" s="10" t="s">
        <v>238</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2"/>
    </row>
    <row r="15" spans="1:52" x14ac:dyDescent="0.25">
      <c r="A15" s="6">
        <f>'Project Information'!$B$9</f>
        <v>2028</v>
      </c>
      <c r="B15" s="163">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
        <f>IF(A15&lt;'Project Information'!B$11,A15+1,"")</f>
        <v>2029</v>
      </c>
      <c r="B16" s="163">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
        <f>IF(A16&lt;'Project Information'!B$11,A16+1,"")</f>
        <v>2030</v>
      </c>
      <c r="B17" s="163">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
        <f>IF(A17&lt;'Project Information'!B$11,A17+1,"")</f>
        <v>2031</v>
      </c>
      <c r="B18" s="163">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
        <f>IF(A18&lt;'Project Information'!B$11,A18+1,"")</f>
        <v>2032</v>
      </c>
      <c r="B19" s="163">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
        <f>IF(A19&lt;'Project Information'!B$11,A19+1,"")</f>
        <v>2033</v>
      </c>
      <c r="B20" s="163">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
        <f>IF(A20&lt;'Project Information'!B$11,A20+1,"")</f>
        <v>2034</v>
      </c>
      <c r="B21" s="163">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
        <f>IF(A21&lt;'Project Information'!B$11,A21+1,"")</f>
        <v>2035</v>
      </c>
      <c r="B22" s="163">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
        <f>IF(A22&lt;'Project Information'!B$11,A22+1,"")</f>
        <v>2036</v>
      </c>
      <c r="B23" s="163">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
        <f>IF(A23&lt;'Project Information'!B$11,A23+1,"")</f>
        <v>2037</v>
      </c>
      <c r="B24" s="163">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
        <f>IF(A24&lt;'Project Information'!B$11,A24+1,"")</f>
        <v>2038</v>
      </c>
      <c r="B25" s="163">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
        <f>IF(A25&lt;'Project Information'!B$11,A25+1,"")</f>
        <v>2039</v>
      </c>
      <c r="B26" s="163">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
        <f>IF(A26&lt;'Project Information'!B$11,A26+1,"")</f>
        <v>2040</v>
      </c>
      <c r="B27" s="163">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
        <f>IF(A27&lt;'Project Information'!B$11,A27+1,"")</f>
        <v>2041</v>
      </c>
      <c r="B28" s="163">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
        <f>IF(A28&lt;'Project Information'!B$11,A28+1,"")</f>
        <v>2042</v>
      </c>
      <c r="B29" s="163">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
        <f>IF(A29&lt;'Project Information'!B$11,A29+1,"")</f>
        <v>2043</v>
      </c>
      <c r="B30" s="163">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
        <f>IF(A30&lt;'Project Information'!B$11,A30+1,"")</f>
        <v>2044</v>
      </c>
      <c r="B31" s="163">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
        <f>IF(A31&lt;'Project Information'!B$11,A31+1,"")</f>
        <v>2045</v>
      </c>
      <c r="B32" s="163">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
        <f>IF(A32&lt;'Project Information'!B$11,A32+1,"")</f>
        <v>2046</v>
      </c>
      <c r="B33" s="163">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
        <f>IF(A33&lt;'Project Information'!B$11,A33+1,"")</f>
        <v>2047</v>
      </c>
      <c r="B34" s="163">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 t="str">
        <f>IF(A34&lt;'Project Information'!B$11,A34+1,"")</f>
        <v/>
      </c>
      <c r="B35" s="163">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 t="str">
        <f>IF(A35&lt;'Project Information'!B$11,A35+1,"")</f>
        <v/>
      </c>
      <c r="B36" s="163">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 t="str">
        <f>IF(A36&lt;'Project Information'!B$11,A36+1,"")</f>
        <v/>
      </c>
      <c r="B37" s="163">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 t="str">
        <f>IF(A37&lt;'Project Information'!B$11,A37+1,"")</f>
        <v/>
      </c>
      <c r="B38" s="163">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 t="str">
        <f>IF(A38&lt;'Project Information'!B$11,A38+1,"")</f>
        <v/>
      </c>
      <c r="B39" s="163">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 t="str">
        <f>IF(A39&lt;'Project Information'!B$11,A39+1,"")</f>
        <v/>
      </c>
      <c r="B40" s="163">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1" t="str">
        <f>IF(A40&lt;'Project Information'!B$11,A40+1,"")</f>
        <v/>
      </c>
      <c r="B41" s="163">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A42" s="1" t="str">
        <f>IF(A41&lt;'Project Information'!B$11,A41+1,"")</f>
        <v/>
      </c>
      <c r="B42" s="163">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A43" s="1" t="str">
        <f>IF(A42&lt;'Project Information'!B$11,A42+1,"")</f>
        <v/>
      </c>
      <c r="B43" s="163">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A44" s="2" t="str">
        <f>IF(A43&lt;'Project Information'!B$11,A43+1,"")</f>
        <v/>
      </c>
      <c r="B44" s="119">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2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2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2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ht="15.75" thickBot="1" x14ac:dyDescent="0.3">
      <c r="E94" s="15"/>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7"/>
    </row>
  </sheetData>
  <conditionalFormatting sqref="B15:B44">
    <cfRule type="expression" dxfId="6" priority="1">
      <formula>A15=""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E35F-05A6-46FB-8C80-3085CA6C95D6}">
  <sheetPr>
    <tabColor theme="9" tint="0.39997558519241921"/>
  </sheetPr>
  <dimension ref="A1:AZ102"/>
  <sheetViews>
    <sheetView workbookViewId="0"/>
  </sheetViews>
  <sheetFormatPr defaultColWidth="9.140625" defaultRowHeight="15" x14ac:dyDescent="0.25"/>
  <cols>
    <col min="1" max="1" width="33.5703125" style="5" customWidth="1"/>
    <col min="2" max="2" width="30" style="5" customWidth="1"/>
    <col min="3" max="3" width="21.85546875" style="5" customWidth="1"/>
    <col min="4" max="4" width="17.85546875" style="5" customWidth="1"/>
    <col min="5" max="5" width="9.140625" style="5"/>
    <col min="6" max="6" width="25.140625" style="5" bestFit="1" customWidth="1"/>
    <col min="7" max="7" width="12.42578125" style="5" bestFit="1" customWidth="1"/>
    <col min="8" max="16384" width="9.140625" style="5"/>
  </cols>
  <sheetData>
    <row r="1" spans="1:11" ht="20.25" thickBot="1" x14ac:dyDescent="0.35">
      <c r="A1" s="95" t="s">
        <v>7</v>
      </c>
    </row>
    <row r="2" spans="1:11" ht="15.75" thickTop="1" x14ac:dyDescent="0.25">
      <c r="A2" s="151" t="s">
        <v>414</v>
      </c>
      <c r="B2" s="151"/>
      <c r="C2" s="151"/>
      <c r="D2" s="151"/>
      <c r="E2" s="151"/>
      <c r="F2" s="151"/>
      <c r="G2" s="151"/>
      <c r="H2" s="151"/>
    </row>
    <row r="3" spans="1:11" x14ac:dyDescent="0.25">
      <c r="A3" s="5" t="s">
        <v>30</v>
      </c>
    </row>
    <row r="4" spans="1:11" x14ac:dyDescent="0.25">
      <c r="A4" s="152" t="s">
        <v>399</v>
      </c>
      <c r="B4" s="151"/>
      <c r="C4" s="151"/>
      <c r="D4" s="151"/>
      <c r="E4" s="151"/>
      <c r="F4" s="151"/>
      <c r="G4" s="151"/>
      <c r="H4" s="151"/>
      <c r="I4" s="151"/>
      <c r="J4" s="151"/>
      <c r="K4" s="151"/>
    </row>
    <row r="5" spans="1:11" x14ac:dyDescent="0.25">
      <c r="A5" s="5" t="s">
        <v>30</v>
      </c>
    </row>
    <row r="6" spans="1:11" x14ac:dyDescent="0.25">
      <c r="A6" s="152" t="s">
        <v>535</v>
      </c>
      <c r="B6" s="151"/>
      <c r="C6" s="151"/>
      <c r="D6" s="151"/>
      <c r="E6" s="151"/>
      <c r="F6" s="151"/>
    </row>
    <row r="7" spans="1:11" x14ac:dyDescent="0.25">
      <c r="A7" s="152" t="s">
        <v>536</v>
      </c>
      <c r="B7" s="151"/>
      <c r="C7" s="151"/>
      <c r="D7" s="151"/>
      <c r="E7" s="151"/>
      <c r="F7" s="151"/>
      <c r="G7" s="151"/>
      <c r="H7" s="151"/>
      <c r="I7" s="151"/>
    </row>
    <row r="8" spans="1:11" x14ac:dyDescent="0.25">
      <c r="A8" s="152" t="s">
        <v>537</v>
      </c>
      <c r="B8" s="151"/>
      <c r="C8" s="151"/>
      <c r="D8" s="151"/>
      <c r="E8" s="151"/>
      <c r="F8" s="151"/>
    </row>
    <row r="9" spans="1:11" x14ac:dyDescent="0.25">
      <c r="A9" s="96" t="s">
        <v>538</v>
      </c>
    </row>
    <row r="10" spans="1:11" x14ac:dyDescent="0.25">
      <c r="A10" s="116" t="s">
        <v>539</v>
      </c>
      <c r="B10" s="106" t="s">
        <v>540</v>
      </c>
      <c r="C10" s="106" t="s">
        <v>541</v>
      </c>
      <c r="D10" s="106" t="s">
        <v>7</v>
      </c>
    </row>
    <row r="11" spans="1:11" x14ac:dyDescent="0.25">
      <c r="A11" s="155" t="s">
        <v>542</v>
      </c>
      <c r="B11" s="167">
        <f>SUM('Capital Costs'!B9:B23)+'Capital Costs'!A5</f>
        <v>18220992</v>
      </c>
      <c r="C11" s="23">
        <v>20</v>
      </c>
      <c r="D11" s="104">
        <f>IF(C11&gt;'Project Information'!$B$10,IFERROR(B11*((C11-'Project Information'!$B$10)/C11),0),0)</f>
        <v>0</v>
      </c>
    </row>
    <row r="12" spans="1:11" x14ac:dyDescent="0.25">
      <c r="A12" s="155" t="s">
        <v>543</v>
      </c>
      <c r="B12" s="162">
        <v>0</v>
      </c>
      <c r="C12" s="23">
        <v>0</v>
      </c>
      <c r="D12" s="104">
        <f>IF(C12&gt;'Project Information'!$B$10,IFERROR(B12*((C12-'Project Information'!$B$10)/C12),0),0)</f>
        <v>0</v>
      </c>
    </row>
    <row r="13" spans="1:11" x14ac:dyDescent="0.25">
      <c r="A13" s="155" t="s">
        <v>543</v>
      </c>
      <c r="B13" s="162">
        <v>0</v>
      </c>
      <c r="C13" s="23">
        <v>0</v>
      </c>
      <c r="D13" s="104">
        <f>IF(C13&gt;'Project Information'!$B$10,IFERROR(B13*((C13-'Project Information'!$B$10)/C13),0),0)</f>
        <v>0</v>
      </c>
    </row>
    <row r="14" spans="1:11" x14ac:dyDescent="0.25">
      <c r="A14" s="155" t="s">
        <v>543</v>
      </c>
      <c r="B14" s="162">
        <v>0</v>
      </c>
      <c r="C14" s="23">
        <v>0</v>
      </c>
      <c r="D14" s="104">
        <f>IF(C14&gt;'Project Information'!$B$10,IFERROR(B14*((C14-'Project Information'!$B$10)/C14),0),0)</f>
        <v>0</v>
      </c>
    </row>
    <row r="15" spans="1:11" x14ac:dyDescent="0.25">
      <c r="A15" s="155" t="s">
        <v>543</v>
      </c>
      <c r="B15" s="162">
        <v>0</v>
      </c>
      <c r="C15" s="23">
        <v>0</v>
      </c>
      <c r="D15" s="104">
        <f>IF(C15&gt;'Project Information'!$B$10,IFERROR(B15*((C15-'Project Information'!$B$10)/C15),0),0)</f>
        <v>0</v>
      </c>
    </row>
    <row r="16" spans="1:11" x14ac:dyDescent="0.25">
      <c r="A16" s="155" t="s">
        <v>543</v>
      </c>
      <c r="B16" s="162">
        <v>0</v>
      </c>
      <c r="C16" s="23">
        <v>0</v>
      </c>
      <c r="D16" s="104">
        <f>IF(C16&gt;'Project Information'!$B$10,IFERROR(B16*((C16-'Project Information'!$B$10)/C16),0),0)</f>
        <v>0</v>
      </c>
    </row>
    <row r="17" spans="1:52" x14ac:dyDescent="0.25">
      <c r="A17" s="3" t="s">
        <v>544</v>
      </c>
      <c r="B17" s="157"/>
      <c r="C17" s="158"/>
      <c r="D17" s="104">
        <f>SUM(D11:D16)</f>
        <v>0</v>
      </c>
    </row>
    <row r="18" spans="1:52" x14ac:dyDescent="0.25">
      <c r="A18" s="5" t="s">
        <v>30</v>
      </c>
    </row>
    <row r="19" spans="1:52" x14ac:dyDescent="0.25">
      <c r="A19" s="152" t="s">
        <v>545</v>
      </c>
      <c r="B19" s="152"/>
      <c r="C19" s="152"/>
      <c r="D19" s="152"/>
      <c r="E19" s="152"/>
      <c r="F19" s="152"/>
      <c r="G19" s="152"/>
    </row>
    <row r="20" spans="1:52" x14ac:dyDescent="0.25">
      <c r="A20" s="152" t="s">
        <v>546</v>
      </c>
      <c r="B20" s="152"/>
      <c r="C20" s="152"/>
      <c r="D20" s="152"/>
    </row>
    <row r="21" spans="1:52" ht="15.75" thickBot="1" x14ac:dyDescent="0.3">
      <c r="A21" s="96" t="s">
        <v>547</v>
      </c>
    </row>
    <row r="22" spans="1:52" x14ac:dyDescent="0.25">
      <c r="A22" s="106" t="s">
        <v>239</v>
      </c>
      <c r="B22" s="107" t="s">
        <v>7</v>
      </c>
      <c r="E22" s="10" t="s">
        <v>238</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2"/>
    </row>
    <row r="23" spans="1:52" x14ac:dyDescent="0.25">
      <c r="A23" s="6">
        <f>'Project Information'!$B$9</f>
        <v>2028</v>
      </c>
      <c r="B23" s="26">
        <f>IF(A23='Project Information'!$B$6+'Project Information'!$B$8+'Project Information'!$B$10,$D$17,0)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
        <f>IF(A23&lt;'Project Information'!B$11,A23+1,"")</f>
        <v>2029</v>
      </c>
      <c r="B24" s="26">
        <f>IF(A24='Project Information'!$B$6+'Project Information'!$B$8+'Project Information'!$B$10,$D$17,0)</f>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
        <f>IF(A24&lt;'Project Information'!B$11,A24+1,"")</f>
        <v>2030</v>
      </c>
      <c r="B25" s="26">
        <f>IF(A25='Project Information'!$B$6+'Project Information'!$B$8+'Project Information'!$B$10,$D$17,0)</f>
        <v>0</v>
      </c>
      <c r="E25" s="13"/>
      <c r="F25"/>
      <c r="G25" s="26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
        <f>IF(A25&lt;'Project Information'!B$11,A25+1,"")</f>
        <v>2031</v>
      </c>
      <c r="B26" s="26">
        <f>IF(A26='Project Information'!$B$6+'Project Information'!$B$8+'Project Information'!$B$10,$D$17,0)</f>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
        <f>IF(A26&lt;'Project Information'!B$11,A26+1,"")</f>
        <v>2032</v>
      </c>
      <c r="B27" s="26">
        <f>IF(A27='Project Information'!$B$6+'Project Information'!$B$8+'Project Information'!$B$10,$D$17,0)</f>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
        <f>IF(A27&lt;'Project Information'!B$11,A27+1,"")</f>
        <v>2033</v>
      </c>
      <c r="B28" s="26">
        <f>IF(A28='Project Information'!$B$6+'Project Information'!$B$8+'Project Information'!$B$10,$D$17,0)</f>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
        <f>IF(A28&lt;'Project Information'!B$11,A28+1,"")</f>
        <v>2034</v>
      </c>
      <c r="B29" s="26">
        <f>IF(A29='Project Information'!$B$6+'Project Information'!$B$8+'Project Information'!$B$10,$D$17,0)</f>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
        <f>IF(A29&lt;'Project Information'!B$11,A29+1,"")</f>
        <v>2035</v>
      </c>
      <c r="B30" s="26">
        <f>IF(A30='Project Information'!$B$6+'Project Information'!$B$8+'Project Information'!$B$10,$D$17,0)</f>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
        <f>IF(A30&lt;'Project Information'!B$11,A30+1,"")</f>
        <v>2036</v>
      </c>
      <c r="B31" s="26">
        <f>IF(A31='Project Information'!$B$6+'Project Information'!$B$8+'Project Information'!$B$10,$D$17,0)</f>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
        <f>IF(A31&lt;'Project Information'!B$11,A31+1,"")</f>
        <v>2037</v>
      </c>
      <c r="B32" s="26">
        <f>IF(A32='Project Information'!$B$6+'Project Information'!$B$8+'Project Information'!$B$10,$D$17,0)</f>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
        <f>IF(A32&lt;'Project Information'!B$11,A32+1,"")</f>
        <v>2038</v>
      </c>
      <c r="B33" s="26">
        <f>IF(A33='Project Information'!$B$6+'Project Information'!$B$8+'Project Information'!$B$10,$D$17,0)</f>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
        <f>IF(A33&lt;'Project Information'!B$11,A33+1,"")</f>
        <v>2039</v>
      </c>
      <c r="B34" s="26">
        <f>IF(A34='Project Information'!$B$6+'Project Information'!$B$8+'Project Information'!$B$10,$D$17,0)</f>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
        <f>IF(A34&lt;'Project Information'!B$11,A34+1,"")</f>
        <v>2040</v>
      </c>
      <c r="B35" s="26">
        <f>IF(A35='Project Information'!$B$6+'Project Information'!$B$8+'Project Information'!$B$10,$D$17,0)</f>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
        <f>IF(A35&lt;'Project Information'!B$11,A35+1,"")</f>
        <v>2041</v>
      </c>
      <c r="B36" s="26">
        <f>IF(A36='Project Information'!$B$6+'Project Information'!$B$8+'Project Information'!$B$10,$D$17,0)</f>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
        <f>IF(A36&lt;'Project Information'!B$11,A36+1,"")</f>
        <v>2042</v>
      </c>
      <c r="B37" s="26">
        <f>IF(A37='Project Information'!$B$6+'Project Information'!$B$8+'Project Information'!$B$10,$D$17,0)</f>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
        <f>IF(A37&lt;'Project Information'!B$11,A37+1,"")</f>
        <v>2043</v>
      </c>
      <c r="B38" s="26">
        <f>IF(A38='Project Information'!$B$6+'Project Information'!$B$8+'Project Information'!$B$10,$D$17,0)</f>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
        <f>IF(A38&lt;'Project Information'!B$11,A38+1,"")</f>
        <v>2044</v>
      </c>
      <c r="B39" s="26">
        <f>IF(A39='Project Information'!$B$6+'Project Information'!$B$8+'Project Information'!$B$10,$D$17,0)</f>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
        <f>IF(A39&lt;'Project Information'!B$11,A39+1,"")</f>
        <v>2045</v>
      </c>
      <c r="B40" s="26">
        <f>IF(A40='Project Information'!$B$6+'Project Information'!$B$8+'Project Information'!$B$10,$D$17,0)</f>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1">
        <f>IF(A40&lt;'Project Information'!B$11,A40+1,"")</f>
        <v>2046</v>
      </c>
      <c r="B41" s="26">
        <f>IF(A41='Project Information'!$B$6+'Project Information'!$B$8+'Project Information'!$B$10,$D$17,0)</f>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A42" s="1">
        <f>IF(A41&lt;'Project Information'!B$11,A41+1,"")</f>
        <v>2047</v>
      </c>
      <c r="B42" s="26">
        <f>IF(A42='Project Information'!$B$6+'Project Information'!$B$8+'Project Information'!$B$10,$D$17,0)</f>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A43" s="1" t="str">
        <f>IF(A42&lt;'Project Information'!B$11,A42+1,"")</f>
        <v/>
      </c>
      <c r="B43" s="26">
        <f>IF(A43='Project Information'!$B$6+'Project Information'!$B$8+'Project Information'!$B$10,$D$17,0)</f>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A44" s="1" t="str">
        <f>IF(A43&lt;'Project Information'!B$11,A43+1,"")</f>
        <v/>
      </c>
      <c r="B44" s="26">
        <f>IF(A44='Project Information'!$B$6+'Project Information'!$B$8+'Project Information'!$B$10,$D$17,0)</f>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A45" s="1" t="str">
        <f>IF(A44&lt;'Project Information'!B$11,A44+1,"")</f>
        <v/>
      </c>
      <c r="B45" s="26">
        <f>IF(A45='Project Information'!$B$6+'Project Information'!$B$8+'Project Information'!$B$10,$D$17,0)</f>
        <v>0</v>
      </c>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A46" s="1" t="str">
        <f>IF(A45&lt;'Project Information'!B$11,A45+1,"")</f>
        <v/>
      </c>
      <c r="B46" s="26">
        <f>IF(A46='Project Information'!$B$6+'Project Information'!$B$8+'Project Information'!$B$10,$D$17,0)</f>
        <v>0</v>
      </c>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A47" s="1" t="str">
        <f>IF(A46&lt;'Project Information'!B$11,A46+1,"")</f>
        <v/>
      </c>
      <c r="B47" s="26">
        <f>IF(A47='Project Information'!$B$6+'Project Information'!$B$8+'Project Information'!$B$10,$D$17,0)</f>
        <v>0</v>
      </c>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A48" s="1" t="str">
        <f>IF(A47&lt;'Project Information'!B$11,A47+1,"")</f>
        <v/>
      </c>
      <c r="B48" s="26">
        <f>IF(A48='Project Information'!$B$6+'Project Information'!$B$8+'Project Information'!$B$10,$D$17,0)</f>
        <v>0</v>
      </c>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1:52" x14ac:dyDescent="0.25">
      <c r="A49" s="1" t="str">
        <f>IF(A48&lt;'Project Information'!B$11,A48+1,"")</f>
        <v/>
      </c>
      <c r="B49" s="26">
        <f>IF(A49='Project Information'!$B$6+'Project Information'!$B$8+'Project Information'!$B$10,$D$17,0)</f>
        <v>0</v>
      </c>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1:52" x14ac:dyDescent="0.25">
      <c r="A50" s="1" t="str">
        <f>IF(A49&lt;'Project Information'!B$11,A49+1,"")</f>
        <v/>
      </c>
      <c r="B50" s="26">
        <f>IF(A50='Project Information'!$B$6+'Project Information'!$B$8+'Project Information'!$B$10,$D$17,0)</f>
        <v>0</v>
      </c>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1:52" x14ac:dyDescent="0.25">
      <c r="A51" s="1" t="str">
        <f>IF(A50&lt;'Project Information'!B$11,A50+1,"")</f>
        <v/>
      </c>
      <c r="B51" s="26">
        <f>IF(A51='Project Information'!$B$6+'Project Information'!$B$8+'Project Information'!$B$10,$D$17,0)</f>
        <v>0</v>
      </c>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1:52" x14ac:dyDescent="0.25">
      <c r="A52" s="2" t="str">
        <f>IF(A51&lt;'Project Information'!B$11,A51+1,"")</f>
        <v/>
      </c>
      <c r="B52" s="164">
        <f>IF(A52='Project Information'!$B$6+'Project Information'!$B$8+'Project Information'!$B$10,$D$17,0)</f>
        <v>0</v>
      </c>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1: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1: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1: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1: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1: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1: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1: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1: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1: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1: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1: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1: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2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2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2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x14ac:dyDescent="0.25">
      <c r="E94" s="13"/>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s="14"/>
    </row>
    <row r="95" spans="5:52" x14ac:dyDescent="0.25">
      <c r="E95" s="13"/>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s="14"/>
    </row>
    <row r="96" spans="5:52" x14ac:dyDescent="0.25">
      <c r="E96" s="13"/>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s="14"/>
    </row>
    <row r="97" spans="5:52" x14ac:dyDescent="0.25">
      <c r="E97" s="13"/>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s="14"/>
    </row>
    <row r="98" spans="5:52" x14ac:dyDescent="0.25">
      <c r="E98" s="13"/>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s="14"/>
    </row>
    <row r="99" spans="5:52" x14ac:dyDescent="0.25">
      <c r="E99" s="13"/>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s="14"/>
    </row>
    <row r="100" spans="5:52" x14ac:dyDescent="0.25">
      <c r="E100" s="13"/>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s="14"/>
    </row>
    <row r="101" spans="5:52" x14ac:dyDescent="0.25">
      <c r="E101" s="13"/>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s="14"/>
    </row>
    <row r="102" spans="5:52" ht="15.75" thickBot="1" x14ac:dyDescent="0.3">
      <c r="E102" s="15"/>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7"/>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F3C72DF-52D5-440E-BE83-E16345A5E25E}">
            <xm:f>A23='Project Information'!$B$11</xm:f>
            <x14:dxf>
              <font>
                <b val="0"/>
                <i/>
                <u val="none"/>
              </font>
              <fill>
                <patternFill>
                  <bgColor theme="4" tint="0.39994506668294322"/>
                </patternFill>
              </fill>
            </x14:dxf>
          </x14:cfRule>
          <xm:sqref>B23:B52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88FB-EB92-4A38-827B-94B87D879DDC}">
  <sheetPr>
    <tabColor theme="9" tint="0.39997558519241921"/>
  </sheetPr>
  <dimension ref="A1:BD90"/>
  <sheetViews>
    <sheetView topLeftCell="A2" workbookViewId="0">
      <selection activeCell="L14" sqref="L14"/>
    </sheetView>
  </sheetViews>
  <sheetFormatPr defaultColWidth="9.140625" defaultRowHeight="15" x14ac:dyDescent="0.25"/>
  <cols>
    <col min="1" max="1" width="26.140625" style="5" customWidth="1"/>
    <col min="2" max="2" width="22.7109375" style="5" customWidth="1"/>
    <col min="3" max="6" width="9.140625" style="5"/>
    <col min="7" max="7" width="33" style="5" customWidth="1"/>
    <col min="8" max="8" width="28.85546875" style="5" customWidth="1"/>
    <col min="9" max="9" width="32.5703125" style="5" customWidth="1"/>
    <col min="10" max="10" width="29.42578125" style="5" customWidth="1"/>
    <col min="11" max="11" width="14.5703125" style="5" customWidth="1"/>
    <col min="12" max="12" width="16.5703125" style="5" customWidth="1"/>
    <col min="13" max="14" width="16.28515625" style="5" customWidth="1"/>
    <col min="15" max="15" width="27.7109375" style="5" bestFit="1" customWidth="1"/>
    <col min="16" max="16" width="9.7109375" style="5" customWidth="1"/>
    <col min="17" max="17" width="9.28515625" style="5" bestFit="1" customWidth="1"/>
    <col min="18" max="18" width="23.7109375" style="5" customWidth="1"/>
    <col min="19" max="19" width="9.140625" style="5"/>
    <col min="20" max="20" width="24" style="5" customWidth="1"/>
    <col min="21" max="21" width="13.7109375" style="5" bestFit="1" customWidth="1"/>
    <col min="22" max="22" width="9.85546875" style="5" bestFit="1" customWidth="1"/>
    <col min="23" max="31" width="9.140625" style="5"/>
    <col min="32" max="32" width="24.5703125" style="5" customWidth="1"/>
    <col min="33" max="33" width="8" style="5" bestFit="1" customWidth="1"/>
    <col min="34" max="34" width="12" style="5" bestFit="1" customWidth="1"/>
    <col min="35" max="35" width="16.28515625" style="5" bestFit="1" customWidth="1"/>
    <col min="36" max="36" width="12.140625" style="5" bestFit="1" customWidth="1"/>
    <col min="37" max="16384" width="9.140625" style="5"/>
  </cols>
  <sheetData>
    <row r="1" spans="1:56" ht="20.25" thickBot="1" x14ac:dyDescent="0.35">
      <c r="A1" s="95" t="s">
        <v>548</v>
      </c>
    </row>
    <row r="2" spans="1:56" ht="15.75" thickTop="1" x14ac:dyDescent="0.25">
      <c r="A2" s="151" t="s">
        <v>549</v>
      </c>
      <c r="B2" s="151"/>
      <c r="C2" s="151"/>
      <c r="D2" s="151"/>
    </row>
    <row r="3" spans="1:56" x14ac:dyDescent="0.25">
      <c r="A3" s="5" t="s">
        <v>30</v>
      </c>
    </row>
    <row r="4" spans="1:56" x14ac:dyDescent="0.25">
      <c r="A4" s="152" t="s">
        <v>399</v>
      </c>
      <c r="B4" s="151"/>
      <c r="C4" s="151"/>
      <c r="D4" s="151"/>
      <c r="E4" s="151"/>
      <c r="F4" s="151"/>
      <c r="G4" s="151"/>
      <c r="H4" s="151"/>
      <c r="I4" s="151"/>
      <c r="J4" s="151"/>
      <c r="K4" s="151"/>
      <c r="L4" s="151"/>
      <c r="M4" s="151"/>
      <c r="N4" s="151"/>
      <c r="O4" s="151"/>
      <c r="P4" s="151"/>
      <c r="Q4" s="151"/>
    </row>
    <row r="5" spans="1:56" x14ac:dyDescent="0.25">
      <c r="A5" s="5" t="s">
        <v>30</v>
      </c>
    </row>
    <row r="6" spans="1:56" ht="15.75" thickBot="1" x14ac:dyDescent="0.3">
      <c r="A6" s="96" t="s">
        <v>550</v>
      </c>
    </row>
    <row r="7" spans="1:56" ht="30" x14ac:dyDescent="0.25">
      <c r="A7" s="106" t="s">
        <v>239</v>
      </c>
      <c r="B7" s="250" t="s">
        <v>551</v>
      </c>
      <c r="E7" s="10" t="s">
        <v>238</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2"/>
    </row>
    <row r="8" spans="1:56" x14ac:dyDescent="0.25">
      <c r="A8" s="6">
        <f>'Project Information'!$B$9</f>
        <v>2028</v>
      </c>
      <c r="B8" s="119">
        <f>(G20-H20)*$H$17</f>
        <v>357.77853121194221</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s="14"/>
    </row>
    <row r="9" spans="1:56" x14ac:dyDescent="0.25">
      <c r="A9" s="1">
        <f>IF(A8&lt;'Project Information'!B$11,A8+1,"")</f>
        <v>2029</v>
      </c>
      <c r="B9" s="119">
        <f t="shared" ref="B9:B27" si="0">(G21-H21)*$H$17</f>
        <v>361.3563165240617</v>
      </c>
      <c r="E9" s="13"/>
      <c r="F9"/>
      <c r="G9" s="268"/>
      <c r="H9" s="268"/>
      <c r="I9" s="268"/>
      <c r="J9" s="268"/>
      <c r="K9" s="268"/>
      <c r="L9" s="268"/>
      <c r="M9" s="268"/>
      <c r="N9" s="268"/>
      <c r="O9" s="268"/>
      <c r="P9" s="268"/>
      <c r="Q9" s="268"/>
      <c r="R9"/>
      <c r="S9"/>
      <c r="T9"/>
      <c r="U9"/>
      <c r="V9"/>
      <c r="W9"/>
      <c r="X9"/>
      <c r="Y9"/>
      <c r="Z9"/>
      <c r="AA9"/>
      <c r="AB9"/>
      <c r="AC9"/>
      <c r="AD9"/>
      <c r="AE9"/>
      <c r="AF9"/>
      <c r="AG9"/>
      <c r="AH9"/>
      <c r="AI9"/>
      <c r="AJ9"/>
      <c r="AK9"/>
      <c r="AL9"/>
      <c r="AM9"/>
      <c r="AN9"/>
      <c r="AO9"/>
      <c r="AP9"/>
      <c r="AQ9"/>
      <c r="AR9"/>
      <c r="AS9"/>
      <c r="AT9"/>
      <c r="AU9"/>
      <c r="AV9"/>
      <c r="AW9"/>
      <c r="AX9"/>
      <c r="AY9"/>
      <c r="AZ9"/>
      <c r="BA9"/>
      <c r="BB9"/>
      <c r="BC9"/>
      <c r="BD9" s="14"/>
    </row>
    <row r="10" spans="1:56" x14ac:dyDescent="0.25">
      <c r="A10" s="1">
        <f>IF(A9&lt;'Project Information'!B$11,A9+1,"")</f>
        <v>2030</v>
      </c>
      <c r="B10" s="119">
        <f t="shared" si="0"/>
        <v>364.96987968930227</v>
      </c>
      <c r="E10" s="13"/>
      <c r="F10"/>
      <c r="G10" s="354" t="s">
        <v>552</v>
      </c>
      <c r="H10" s="354"/>
      <c r="I10" s="354"/>
      <c r="J10" s="354"/>
      <c r="K10" s="372"/>
      <c r="L10" s="372"/>
      <c r="M10" s="372"/>
      <c r="N10" s="372"/>
      <c r="O10" s="372"/>
      <c r="P10" s="372"/>
      <c r="Q10" s="372"/>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s="14"/>
    </row>
    <row r="11" spans="1:56" x14ac:dyDescent="0.25">
      <c r="A11" s="1">
        <f>IF(A10&lt;'Project Information'!B$11,A10+1,"")</f>
        <v>2031</v>
      </c>
      <c r="B11" s="119">
        <f t="shared" si="0"/>
        <v>368.61957848619511</v>
      </c>
      <c r="E11" s="13"/>
      <c r="F11"/>
      <c r="G11" s="181"/>
      <c r="H11" s="178" t="s">
        <v>553</v>
      </c>
      <c r="I11" s="178" t="s">
        <v>175</v>
      </c>
      <c r="J11" s="178" t="s">
        <v>554</v>
      </c>
      <c r="K11" s="372"/>
      <c r="L11" s="372"/>
      <c r="M11" s="245"/>
      <c r="N11" s="245"/>
      <c r="O11" s="245"/>
      <c r="P11" s="245"/>
      <c r="Q11" s="245"/>
      <c r="R11" s="372"/>
      <c r="S11" s="372"/>
      <c r="T11" s="372"/>
      <c r="U11" s="372"/>
      <c r="V11" s="372"/>
      <c r="W11"/>
      <c r="X11"/>
      <c r="Y11"/>
      <c r="Z11"/>
      <c r="AA11"/>
      <c r="AB11"/>
      <c r="AC11"/>
      <c r="AD11"/>
      <c r="AE11"/>
      <c r="AF11"/>
      <c r="AG11"/>
      <c r="AH11"/>
      <c r="AI11"/>
      <c r="AJ11"/>
      <c r="AK11"/>
      <c r="AL11"/>
      <c r="AM11"/>
      <c r="AN11"/>
      <c r="AO11"/>
      <c r="AP11"/>
      <c r="AQ11"/>
      <c r="AR11"/>
      <c r="AS11"/>
      <c r="AT11"/>
      <c r="AU11"/>
      <c r="AV11"/>
      <c r="AW11"/>
      <c r="AX11"/>
      <c r="AY11"/>
      <c r="AZ11"/>
      <c r="BA11"/>
      <c r="BB11"/>
      <c r="BC11"/>
      <c r="BD11" s="14"/>
    </row>
    <row r="12" spans="1:56" x14ac:dyDescent="0.25">
      <c r="A12" s="1">
        <f>IF(A11&lt;'Project Information'!B$11,A11+1,"")</f>
        <v>2032</v>
      </c>
      <c r="B12" s="119">
        <f t="shared" si="0"/>
        <v>372.30577427105715</v>
      </c>
      <c r="E12" s="13"/>
      <c r="F12"/>
      <c r="G12" s="181" t="s">
        <v>555</v>
      </c>
      <c r="H12" s="181">
        <v>2.2999999999999998</v>
      </c>
      <c r="I12" s="181">
        <v>5.5</v>
      </c>
      <c r="J12" s="181">
        <v>6.6</v>
      </c>
      <c r="K12"/>
      <c r="L12"/>
      <c r="M12"/>
      <c r="N12"/>
      <c r="O12"/>
      <c r="P12"/>
      <c r="Q12"/>
      <c r="R12" s="245"/>
      <c r="S12" s="245"/>
      <c r="T12" s="245"/>
      <c r="U12" s="245"/>
      <c r="V12" s="245"/>
      <c r="W12"/>
      <c r="X12"/>
      <c r="Y12"/>
      <c r="Z12"/>
      <c r="AA12"/>
      <c r="AB12"/>
      <c r="AC12"/>
      <c r="AD12"/>
      <c r="AE12"/>
      <c r="AF12"/>
      <c r="AG12"/>
      <c r="AH12"/>
      <c r="AI12"/>
      <c r="AJ12"/>
      <c r="AK12"/>
      <c r="AL12"/>
      <c r="AM12"/>
      <c r="AN12"/>
      <c r="AO12"/>
      <c r="AP12"/>
      <c r="AQ12"/>
      <c r="AR12"/>
      <c r="AS12"/>
      <c r="AT12"/>
      <c r="AU12"/>
      <c r="AV12"/>
      <c r="AW12"/>
      <c r="AX12"/>
      <c r="AY12"/>
      <c r="AZ12"/>
      <c r="BA12"/>
      <c r="BB12"/>
      <c r="BC12"/>
      <c r="BD12" s="14"/>
    </row>
    <row r="13" spans="1:56" x14ac:dyDescent="0.25">
      <c r="A13" s="1">
        <f>IF(A12&lt;'Project Information'!B$11,A12+1,"")</f>
        <v>2033</v>
      </c>
      <c r="B13" s="119">
        <f t="shared" si="0"/>
        <v>376.02883201376761</v>
      </c>
      <c r="E13" s="13"/>
      <c r="F13"/>
      <c r="G13" t="s">
        <v>556</v>
      </c>
      <c r="H13"/>
      <c r="I13"/>
      <c r="J13"/>
      <c r="K13"/>
      <c r="L13"/>
      <c r="M13"/>
      <c r="N13"/>
      <c r="O13"/>
      <c r="P13"/>
      <c r="Q13"/>
      <c r="R13"/>
      <c r="S13" s="186"/>
      <c r="T13" s="186"/>
      <c r="U13" s="306"/>
      <c r="V13" s="306"/>
      <c r="W13"/>
      <c r="X13"/>
      <c r="Y13"/>
      <c r="Z13"/>
      <c r="AA13"/>
      <c r="AB13"/>
      <c r="AC13"/>
      <c r="AD13"/>
      <c r="AE13"/>
      <c r="AF13"/>
      <c r="AG13"/>
      <c r="AH13"/>
      <c r="AI13"/>
      <c r="AJ13"/>
      <c r="AK13"/>
      <c r="AL13"/>
      <c r="AM13"/>
      <c r="AN13"/>
      <c r="AO13"/>
      <c r="AP13"/>
      <c r="AQ13"/>
      <c r="AR13"/>
      <c r="AS13"/>
      <c r="AT13"/>
      <c r="AU13"/>
      <c r="AV13"/>
      <c r="AW13"/>
      <c r="AX13"/>
      <c r="AY13"/>
      <c r="AZ13"/>
      <c r="BA13"/>
      <c r="BB13"/>
      <c r="BC13"/>
      <c r="BD13" s="14"/>
    </row>
    <row r="14" spans="1:56" x14ac:dyDescent="0.25">
      <c r="A14" s="1">
        <f>IF(A13&lt;'Project Information'!B$11,A13+1,"")</f>
        <v>2034</v>
      </c>
      <c r="B14" s="119">
        <f t="shared" si="0"/>
        <v>379.78912033390537</v>
      </c>
      <c r="E14" s="13"/>
      <c r="F14"/>
      <c r="G14" s="234" t="s">
        <v>557</v>
      </c>
      <c r="H14"/>
      <c r="I14"/>
      <c r="J14"/>
      <c r="K14"/>
      <c r="L14"/>
      <c r="M14"/>
      <c r="N14"/>
      <c r="O14"/>
      <c r="P14"/>
      <c r="Q14"/>
      <c r="R14"/>
      <c r="S14" s="186"/>
      <c r="T14" s="186"/>
      <c r="U14" s="306"/>
      <c r="V14" s="306"/>
      <c r="W14"/>
      <c r="X14"/>
      <c r="Y14"/>
      <c r="Z14"/>
      <c r="AA14"/>
      <c r="AB14"/>
      <c r="AC14"/>
      <c r="AD14"/>
      <c r="AE14"/>
      <c r="AF14"/>
      <c r="AG14"/>
      <c r="AH14"/>
      <c r="AI14"/>
      <c r="AJ14"/>
      <c r="AK14"/>
      <c r="AL14"/>
      <c r="AM14"/>
      <c r="AN14"/>
      <c r="AO14"/>
      <c r="AP14"/>
      <c r="AQ14"/>
      <c r="AR14"/>
      <c r="AS14"/>
      <c r="AT14"/>
      <c r="AU14"/>
      <c r="AV14"/>
      <c r="AW14"/>
      <c r="AX14"/>
      <c r="AY14"/>
      <c r="AZ14"/>
      <c r="BA14"/>
      <c r="BB14"/>
      <c r="BC14"/>
      <c r="BD14" s="14"/>
    </row>
    <row r="15" spans="1:56" x14ac:dyDescent="0.25">
      <c r="A15" s="1">
        <f>IF(A14&lt;'Project Information'!B$11,A14+1,"")</f>
        <v>2035</v>
      </c>
      <c r="B15" s="119">
        <f t="shared" si="0"/>
        <v>383.58701153724434</v>
      </c>
      <c r="E15" s="13"/>
      <c r="F15"/>
      <c r="G15" s="234"/>
      <c r="H15"/>
      <c r="I15"/>
      <c r="J15"/>
      <c r="K15"/>
      <c r="L15"/>
      <c r="M15"/>
      <c r="N15"/>
      <c r="O15"/>
      <c r="P15"/>
      <c r="Q15"/>
      <c r="R15"/>
      <c r="S15" s="186"/>
      <c r="T15" s="186"/>
      <c r="U15" s="306"/>
      <c r="V15" s="306"/>
      <c r="W15"/>
      <c r="X15"/>
      <c r="Y15"/>
      <c r="Z15"/>
      <c r="AA15"/>
      <c r="AB15"/>
      <c r="AC15"/>
      <c r="AD15"/>
      <c r="AE15"/>
      <c r="AF15"/>
      <c r="AG15"/>
      <c r="AH15"/>
      <c r="AI15"/>
      <c r="AJ15"/>
      <c r="AK15"/>
      <c r="AL15"/>
      <c r="AM15"/>
      <c r="AN15"/>
      <c r="AO15"/>
      <c r="AP15"/>
      <c r="AQ15"/>
      <c r="AR15"/>
      <c r="AS15"/>
      <c r="AT15"/>
      <c r="AU15"/>
      <c r="AV15"/>
      <c r="AW15"/>
      <c r="AX15"/>
      <c r="AY15"/>
      <c r="AZ15"/>
      <c r="BA15"/>
      <c r="BB15"/>
      <c r="BC15"/>
      <c r="BD15" s="14"/>
    </row>
    <row r="16" spans="1:56" x14ac:dyDescent="0.25">
      <c r="A16" s="1">
        <f>IF(A15&lt;'Project Information'!B$11,A15+1,"")</f>
        <v>2036</v>
      </c>
      <c r="B16" s="119">
        <f t="shared" si="0"/>
        <v>387.42288165261704</v>
      </c>
      <c r="E16" s="13"/>
      <c r="F16"/>
      <c r="G16" s="299" t="s">
        <v>558</v>
      </c>
      <c r="H16" s="300">
        <v>748.05190000000005</v>
      </c>
      <c r="I16"/>
      <c r="J16" s="354" t="s">
        <v>559</v>
      </c>
      <c r="K16" s="354"/>
      <c r="L16" s="354"/>
      <c r="M16" s="354"/>
      <c r="N16" s="354"/>
      <c r="O16"/>
      <c r="P16"/>
      <c r="Q16"/>
      <c r="R16"/>
      <c r="S16" s="186"/>
      <c r="T16" s="186"/>
      <c r="U16" s="306"/>
      <c r="V16" s="306"/>
      <c r="W16"/>
      <c r="X16"/>
      <c r="Y16"/>
      <c r="Z16"/>
      <c r="AA16"/>
      <c r="AB16"/>
      <c r="AC16"/>
      <c r="AD16"/>
      <c r="AE16"/>
      <c r="AF16"/>
      <c r="AG16"/>
      <c r="AH16"/>
      <c r="AI16"/>
      <c r="AJ16"/>
      <c r="AK16"/>
      <c r="AL16"/>
      <c r="AM16"/>
      <c r="AN16"/>
      <c r="AO16"/>
      <c r="AP16"/>
      <c r="AQ16"/>
      <c r="AR16"/>
      <c r="AS16"/>
      <c r="AT16"/>
      <c r="AU16"/>
      <c r="AV16"/>
      <c r="AW16"/>
      <c r="AX16"/>
      <c r="AY16"/>
      <c r="AZ16"/>
      <c r="BA16"/>
      <c r="BB16"/>
      <c r="BC16"/>
      <c r="BD16" s="14"/>
    </row>
    <row r="17" spans="1:56" x14ac:dyDescent="0.25">
      <c r="A17" s="1">
        <f>IF(A16&lt;'Project Information'!B$11,A16+1,"")</f>
        <v>2037</v>
      </c>
      <c r="B17" s="119">
        <f t="shared" si="0"/>
        <v>391.29711046914321</v>
      </c>
      <c r="E17" s="13"/>
      <c r="F17"/>
      <c r="G17" s="299" t="s">
        <v>560</v>
      </c>
      <c r="H17" s="301">
        <f>M29/K29</f>
        <v>451.00432966159917</v>
      </c>
      <c r="I17"/>
      <c r="J17" s="178" t="s">
        <v>247</v>
      </c>
      <c r="K17" s="178" t="s">
        <v>266</v>
      </c>
      <c r="L17" s="178" t="s">
        <v>267</v>
      </c>
      <c r="M17" s="178" t="s">
        <v>33</v>
      </c>
      <c r="N17" s="178" t="s">
        <v>561</v>
      </c>
      <c r="O17"/>
      <c r="P17"/>
      <c r="Q17"/>
      <c r="R17"/>
      <c r="S17" s="186"/>
      <c r="T17" s="186"/>
      <c r="U17" s="306"/>
      <c r="V17" s="306"/>
      <c r="W17"/>
      <c r="X17"/>
      <c r="Y17"/>
      <c r="Z17"/>
      <c r="AA17"/>
      <c r="AB17"/>
      <c r="AC17"/>
      <c r="AD17"/>
      <c r="AE17"/>
      <c r="AF17"/>
      <c r="AG17"/>
      <c r="AH17"/>
      <c r="AI17"/>
      <c r="AJ17"/>
      <c r="AK17"/>
      <c r="AL17"/>
      <c r="AM17"/>
      <c r="AN17"/>
      <c r="AO17"/>
      <c r="AP17"/>
      <c r="AQ17"/>
      <c r="AR17"/>
      <c r="AS17"/>
      <c r="AT17"/>
      <c r="AU17"/>
      <c r="AV17"/>
      <c r="AW17"/>
      <c r="AX17"/>
      <c r="AY17"/>
      <c r="AZ17"/>
      <c r="BA17"/>
      <c r="BB17"/>
      <c r="BC17"/>
      <c r="BD17" s="14"/>
    </row>
    <row r="18" spans="1:56" x14ac:dyDescent="0.25">
      <c r="A18" s="1">
        <f>IF(A17&lt;'Project Information'!B$11,A17+1,"")</f>
        <v>2038</v>
      </c>
      <c r="B18" s="119">
        <f t="shared" si="0"/>
        <v>395.21008157383477</v>
      </c>
      <c r="E18" s="13"/>
      <c r="F18"/>
      <c r="G18" s="234"/>
      <c r="H18"/>
      <c r="I18" s="278"/>
      <c r="J18" s="180" t="s">
        <v>276</v>
      </c>
      <c r="K18" s="181">
        <v>341975</v>
      </c>
      <c r="L18" s="181">
        <v>46611192.500000007</v>
      </c>
      <c r="M18" s="227">
        <v>284902792</v>
      </c>
      <c r="N18" s="227">
        <v>833.10999926895238</v>
      </c>
      <c r="O18"/>
      <c r="P18"/>
      <c r="Q18"/>
      <c r="R18"/>
      <c r="S18" s="186"/>
      <c r="T18" s="186"/>
      <c r="U18" s="306"/>
      <c r="V18" s="306"/>
      <c r="W18"/>
      <c r="X18"/>
      <c r="Y18"/>
      <c r="Z18"/>
      <c r="AA18"/>
      <c r="AB18"/>
      <c r="AC18"/>
      <c r="AD18"/>
      <c r="AE18"/>
      <c r="AF18"/>
      <c r="AG18"/>
      <c r="AH18"/>
      <c r="AI18"/>
      <c r="AJ18"/>
      <c r="AK18"/>
      <c r="AL18"/>
      <c r="AM18"/>
      <c r="AN18"/>
      <c r="AO18"/>
      <c r="AP18"/>
      <c r="AQ18"/>
      <c r="AR18"/>
      <c r="AS18"/>
      <c r="AT18"/>
      <c r="AU18"/>
      <c r="AV18"/>
      <c r="AW18"/>
      <c r="AX18"/>
      <c r="AY18"/>
      <c r="AZ18"/>
      <c r="BA18"/>
      <c r="BB18"/>
      <c r="BC18"/>
      <c r="BD18" s="14"/>
    </row>
    <row r="19" spans="1:56" x14ac:dyDescent="0.25">
      <c r="A19" s="1">
        <f>IF(A18&lt;'Project Information'!B$11,A18+1,"")</f>
        <v>2039</v>
      </c>
      <c r="B19" s="119">
        <f t="shared" si="0"/>
        <v>399.16218238957299</v>
      </c>
      <c r="E19" s="13"/>
      <c r="F19" s="180"/>
      <c r="G19" s="267" t="s">
        <v>562</v>
      </c>
      <c r="H19" s="267" t="s">
        <v>563</v>
      </c>
      <c r="I19" s="295"/>
      <c r="J19" s="180" t="s">
        <v>274</v>
      </c>
      <c r="K19" s="181">
        <v>1331260</v>
      </c>
      <c r="L19" s="181">
        <v>181450738.00000003</v>
      </c>
      <c r="M19" s="227">
        <v>712224100</v>
      </c>
      <c r="N19" s="227">
        <v>535</v>
      </c>
      <c r="O19"/>
      <c r="P19"/>
      <c r="Q19"/>
      <c r="R19"/>
      <c r="S19" s="186"/>
      <c r="T19" s="186"/>
      <c r="U19" s="306"/>
      <c r="V19" s="306"/>
      <c r="W19"/>
      <c r="X19"/>
      <c r="Y19"/>
      <c r="Z19"/>
      <c r="AA19"/>
      <c r="AB19"/>
      <c r="AC19"/>
      <c r="AD19"/>
      <c r="AE19"/>
      <c r="AF19"/>
      <c r="AG19"/>
      <c r="AH19"/>
      <c r="AI19"/>
      <c r="AJ19"/>
      <c r="AK19"/>
      <c r="AL19"/>
      <c r="AM19"/>
      <c r="AN19"/>
      <c r="AO19"/>
      <c r="AP19"/>
      <c r="AQ19"/>
      <c r="AR19"/>
      <c r="AS19"/>
      <c r="AT19"/>
      <c r="AU19"/>
      <c r="AV19"/>
      <c r="AW19"/>
      <c r="AX19"/>
      <c r="AY19"/>
      <c r="AZ19"/>
      <c r="BA19"/>
      <c r="BB19"/>
      <c r="BC19"/>
      <c r="BD19" s="14"/>
    </row>
    <row r="20" spans="1:56" x14ac:dyDescent="0.25">
      <c r="A20" s="1">
        <f>IF(A19&lt;'Project Information'!B$11,A19+1,"")</f>
        <v>2040</v>
      </c>
      <c r="B20" s="119">
        <f t="shared" si="0"/>
        <v>403.15380421346845</v>
      </c>
      <c r="E20" s="13"/>
      <c r="F20" s="275">
        <v>2028</v>
      </c>
      <c r="G20" s="303">
        <f>(($H$12/$H$16)*('User Volumes'!E10/1000000))+(($I$12/$H$16)*('User Volumes'!G10/1000000))+(($J$12/$H$16)*('User Volumes'!I10/1000000))</f>
        <v>3.5863190905026427</v>
      </c>
      <c r="H20" s="304">
        <f>($H$12/$H$16)*('User Volumes'!D10/1000000)</f>
        <v>2.7930261935577438</v>
      </c>
      <c r="I20" s="295"/>
      <c r="J20" s="180" t="s">
        <v>271</v>
      </c>
      <c r="K20" s="181">
        <v>397054</v>
      </c>
      <c r="L20" s="181">
        <v>54118460.200000003</v>
      </c>
      <c r="M20" s="227">
        <v>212423890</v>
      </c>
      <c r="N20" s="227">
        <v>535</v>
      </c>
      <c r="O20"/>
      <c r="P20"/>
      <c r="Q20"/>
      <c r="R20"/>
      <c r="S20" s="186"/>
      <c r="T20" s="186"/>
      <c r="U20" s="306"/>
      <c r="V20" s="306"/>
      <c r="W20"/>
      <c r="X20"/>
      <c r="Y20"/>
      <c r="Z20"/>
      <c r="AA20"/>
      <c r="AB20"/>
      <c r="AC20"/>
      <c r="AD20"/>
      <c r="AE20"/>
      <c r="AF20"/>
      <c r="AG20"/>
      <c r="AH20"/>
      <c r="AI20"/>
      <c r="AJ20"/>
      <c r="AK20"/>
      <c r="AL20"/>
      <c r="AM20"/>
      <c r="AN20"/>
      <c r="AO20"/>
      <c r="AP20"/>
      <c r="AQ20"/>
      <c r="AR20"/>
      <c r="AS20"/>
      <c r="AT20"/>
      <c r="AU20"/>
      <c r="AV20"/>
      <c r="AW20"/>
      <c r="AX20"/>
      <c r="AY20"/>
      <c r="AZ20"/>
      <c r="BA20"/>
      <c r="BB20"/>
      <c r="BC20"/>
      <c r="BD20" s="14"/>
    </row>
    <row r="21" spans="1:56" x14ac:dyDescent="0.25">
      <c r="A21" s="1">
        <f>IF(A20&lt;'Project Information'!B$11,A20+1,"")</f>
        <v>2041</v>
      </c>
      <c r="B21" s="119">
        <f t="shared" si="0"/>
        <v>407.1853422556033</v>
      </c>
      <c r="E21" s="13"/>
      <c r="F21" s="275">
        <v>2029</v>
      </c>
      <c r="G21" s="303">
        <f>(($H$12/$H$16)*('User Volumes'!E11/1000000))+(($I$12/$H$16)*('User Volumes'!G11/1000000))+(($J$12/$H$16)*('User Volumes'!I11/1000000))</f>
        <v>3.6221822814076692</v>
      </c>
      <c r="H21" s="304">
        <f>($H$12/$H$16)*('User Volumes'!D11/1000000)</f>
        <v>2.8209564554933211</v>
      </c>
      <c r="I21" s="295"/>
      <c r="J21" s="180" t="s">
        <v>284</v>
      </c>
      <c r="K21" s="181">
        <v>56300</v>
      </c>
      <c r="L21" s="181">
        <v>7673690.0000000009</v>
      </c>
      <c r="M21" s="227">
        <v>22520000</v>
      </c>
      <c r="N21" s="227">
        <v>400</v>
      </c>
      <c r="O21" s="305"/>
      <c r="P21" s="266"/>
      <c r="Q21" s="266"/>
      <c r="R21"/>
      <c r="S21" s="186"/>
      <c r="T21" s="186"/>
      <c r="U21" s="306"/>
      <c r="V21" s="306"/>
      <c r="W21"/>
      <c r="X21"/>
      <c r="Y21"/>
      <c r="Z21"/>
      <c r="AA21"/>
      <c r="AB21"/>
      <c r="AC21"/>
      <c r="AD21"/>
      <c r="AE21"/>
      <c r="AF21"/>
      <c r="AG21"/>
      <c r="AH21"/>
      <c r="AI21"/>
      <c r="AJ21"/>
      <c r="AK21"/>
      <c r="AL21"/>
      <c r="AM21"/>
      <c r="AN21"/>
      <c r="AO21"/>
      <c r="AP21"/>
      <c r="AQ21"/>
      <c r="AR21"/>
      <c r="AS21"/>
      <c r="AT21"/>
      <c r="AU21"/>
      <c r="AV21"/>
      <c r="AW21"/>
      <c r="AX21"/>
      <c r="AY21"/>
      <c r="AZ21"/>
      <c r="BA21"/>
      <c r="BB21"/>
      <c r="BC21"/>
      <c r="BD21" s="14"/>
    </row>
    <row r="22" spans="1:56" x14ac:dyDescent="0.25">
      <c r="A22" s="1">
        <f>IF(A21&lt;'Project Information'!B$11,A21+1,"")</f>
        <v>2042</v>
      </c>
      <c r="B22" s="119">
        <f t="shared" si="0"/>
        <v>411.25719567815952</v>
      </c>
      <c r="E22" s="13"/>
      <c r="F22" s="275">
        <v>2030</v>
      </c>
      <c r="G22" s="303">
        <f>(($H$12/$H$16)*('User Volumes'!E12/1000000))+(($I$12/$H$16)*('User Volumes'!G12/1000000))+(($J$12/$H$16)*('User Volumes'!I12/1000000))</f>
        <v>3.6584041042217454</v>
      </c>
      <c r="H22" s="304">
        <f>($H$12/$H$16)*('User Volumes'!D12/1000000)</f>
        <v>2.849166020048254</v>
      </c>
      <c r="I22" s="295"/>
      <c r="J22" s="180" t="s">
        <v>564</v>
      </c>
      <c r="K22" s="181">
        <v>117881</v>
      </c>
      <c r="L22" s="181">
        <v>16067180.300000001</v>
      </c>
      <c r="M22" s="227">
        <v>977233</v>
      </c>
      <c r="N22" s="227">
        <v>8.2899958432656664</v>
      </c>
      <c r="O22" s="245"/>
      <c r="P22" s="186"/>
      <c r="Q22" s="266"/>
      <c r="R22"/>
      <c r="S22" s="186"/>
      <c r="T22" s="186"/>
      <c r="U22" s="306"/>
      <c r="V22" s="306"/>
      <c r="W22"/>
      <c r="X22"/>
      <c r="Y22"/>
      <c r="Z22"/>
      <c r="AA22"/>
      <c r="AB22"/>
      <c r="AC22"/>
      <c r="AD22"/>
      <c r="AE22"/>
      <c r="AF22"/>
      <c r="AG22"/>
      <c r="AH22"/>
      <c r="AI22"/>
      <c r="AJ22"/>
      <c r="AK22"/>
      <c r="AL22"/>
      <c r="AM22"/>
      <c r="AN22"/>
      <c r="AO22"/>
      <c r="AP22"/>
      <c r="AQ22"/>
      <c r="AR22"/>
      <c r="AS22"/>
      <c r="AT22"/>
      <c r="AU22"/>
      <c r="AV22"/>
      <c r="AW22"/>
      <c r="AX22"/>
      <c r="AY22"/>
      <c r="AZ22"/>
      <c r="BA22"/>
      <c r="BB22"/>
      <c r="BC22"/>
      <c r="BD22" s="14"/>
    </row>
    <row r="23" spans="1:56" x14ac:dyDescent="0.25">
      <c r="A23" s="1">
        <f>IF(A22&lt;'Project Information'!B$11,A22+1,"")</f>
        <v>2043</v>
      </c>
      <c r="B23" s="119">
        <f t="shared" si="0"/>
        <v>415.36976763494107</v>
      </c>
      <c r="E23" s="13"/>
      <c r="F23" s="275">
        <v>2031</v>
      </c>
      <c r="G23" s="303">
        <f>(($H$12/$H$16)*('User Volumes'!E13/1000000))+(($I$12/$H$16)*('User Volumes'!G13/1000000))+(($J$12/$H$16)*('User Volumes'!I13/1000000))</f>
        <v>3.6949881452639626</v>
      </c>
      <c r="H23" s="304">
        <f>($H$12/$H$16)*('User Volumes'!D13/1000000)</f>
        <v>2.8776576802487366</v>
      </c>
      <c r="I23" s="296"/>
      <c r="J23" s="180" t="s">
        <v>269</v>
      </c>
      <c r="K23" s="181">
        <v>273180</v>
      </c>
      <c r="L23" s="181">
        <v>37234434</v>
      </c>
      <c r="M23" s="227">
        <v>172704396</v>
      </c>
      <c r="N23" s="227">
        <v>632.20000000000005</v>
      </c>
      <c r="O23" s="188"/>
      <c r="P23" s="266"/>
      <c r="Q23" s="266"/>
      <c r="R23"/>
      <c r="S23" s="186"/>
      <c r="T23" s="186"/>
      <c r="U23" s="306"/>
      <c r="V23" s="306"/>
      <c r="W23"/>
      <c r="X23"/>
      <c r="Y23"/>
      <c r="Z23"/>
      <c r="AA23"/>
      <c r="AB23"/>
      <c r="AC23"/>
      <c r="AD23"/>
      <c r="AE23"/>
      <c r="AF23"/>
      <c r="AG23"/>
      <c r="AH23"/>
      <c r="AI23"/>
      <c r="AJ23"/>
      <c r="AK23"/>
      <c r="AL23"/>
      <c r="AM23"/>
      <c r="AN23"/>
      <c r="AO23"/>
      <c r="AP23"/>
      <c r="AQ23"/>
      <c r="AR23"/>
      <c r="AS23"/>
      <c r="AT23"/>
      <c r="AU23"/>
      <c r="AV23"/>
      <c r="AW23"/>
      <c r="AX23"/>
      <c r="AY23"/>
      <c r="AZ23"/>
      <c r="BA23"/>
      <c r="BB23"/>
      <c r="BC23"/>
      <c r="BD23" s="14"/>
    </row>
    <row r="24" spans="1:56" x14ac:dyDescent="0.25">
      <c r="A24" s="1">
        <f>IF(A23&lt;'Project Information'!B$11,A23+1,"")</f>
        <v>2044</v>
      </c>
      <c r="B24" s="119">
        <f t="shared" si="0"/>
        <v>419.52346531129069</v>
      </c>
      <c r="E24" s="13"/>
      <c r="F24" s="275">
        <v>2032</v>
      </c>
      <c r="G24" s="303">
        <f>(($H$12/$H$16)*('User Volumes'!E14/1000000))+(($I$12/$H$16)*('User Volumes'!G14/1000000))+(($J$12/$H$16)*('User Volumes'!I14/1000000))</f>
        <v>3.7319380267166022</v>
      </c>
      <c r="H24" s="304">
        <f>($H$12/$H$16)*('User Volumes'!D14/1000000)</f>
        <v>2.9064342570512238</v>
      </c>
      <c r="I24" s="297"/>
      <c r="J24" s="180" t="s">
        <v>263</v>
      </c>
      <c r="K24" s="181">
        <v>141400</v>
      </c>
      <c r="L24" s="181">
        <v>19272820</v>
      </c>
      <c r="M24" s="227">
        <v>116294430</v>
      </c>
      <c r="N24" s="227">
        <v>822.45</v>
      </c>
      <c r="O24" s="188"/>
      <c r="P24" s="266"/>
      <c r="Q24" s="266"/>
      <c r="R24" s="190"/>
      <c r="S24" s="245"/>
      <c r="T24" s="245"/>
      <c r="U24" s="282"/>
      <c r="V24" s="282"/>
      <c r="W24"/>
      <c r="X24"/>
      <c r="Y24"/>
      <c r="Z24"/>
      <c r="AA24"/>
      <c r="AB24"/>
      <c r="AC24"/>
      <c r="AD24"/>
      <c r="AE24"/>
      <c r="AF24"/>
      <c r="AG24"/>
      <c r="AH24"/>
      <c r="AI24"/>
      <c r="AJ24"/>
      <c r="AK24"/>
      <c r="AL24"/>
      <c r="AM24"/>
      <c r="AN24"/>
      <c r="AO24"/>
      <c r="AP24"/>
      <c r="AQ24"/>
      <c r="AR24"/>
      <c r="AS24"/>
      <c r="AT24"/>
      <c r="AU24"/>
      <c r="AV24"/>
      <c r="AW24"/>
      <c r="AX24"/>
      <c r="AY24"/>
      <c r="AZ24"/>
      <c r="BA24"/>
      <c r="BB24"/>
      <c r="BC24"/>
      <c r="BD24" s="14"/>
    </row>
    <row r="25" spans="1:56" x14ac:dyDescent="0.25">
      <c r="A25" s="1">
        <f>IF(A24&lt;'Project Information'!B$11,A24+1,"")</f>
        <v>2045</v>
      </c>
      <c r="B25" s="119">
        <f t="shared" si="0"/>
        <v>423.7186999644029</v>
      </c>
      <c r="E25" s="13"/>
      <c r="F25" s="275">
        <v>2033</v>
      </c>
      <c r="G25" s="303">
        <f>(($H$12/$H$16)*('User Volumes'!E15/1000000))+(($I$12/$H$16)*('User Volumes'!G15/1000000))+(($J$12/$H$16)*('User Volumes'!I15/1000000))</f>
        <v>3.7692574069837685</v>
      </c>
      <c r="H25" s="304">
        <f>($H$12/$H$16)*('User Volumes'!D15/1000000)</f>
        <v>2.9354985996217366</v>
      </c>
      <c r="I25" s="298"/>
      <c r="J25" s="180" t="s">
        <v>294</v>
      </c>
      <c r="K25" s="181">
        <v>214334</v>
      </c>
      <c r="L25" s="181">
        <v>29213724.200000003</v>
      </c>
      <c r="M25" s="227">
        <v>45353074</v>
      </c>
      <c r="N25" s="227">
        <v>211.59999813375387</v>
      </c>
      <c r="O25" s="188"/>
      <c r="P25" s="266"/>
      <c r="Q25" s="266"/>
      <c r="R25" s="190"/>
      <c r="S25" s="190"/>
      <c r="T25" s="190"/>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s="14"/>
    </row>
    <row r="26" spans="1:56" x14ac:dyDescent="0.25">
      <c r="A26" s="1">
        <f>IF(A25&lt;'Project Information'!B$11,A25+1,"")</f>
        <v>2046</v>
      </c>
      <c r="B26" s="119">
        <f t="shared" si="0"/>
        <v>427.95588696404707</v>
      </c>
      <c r="E26" s="13"/>
      <c r="F26" s="291">
        <v>2034</v>
      </c>
      <c r="G26" s="303">
        <f>(($H$12/$H$16)*('User Volumes'!E16/1000000))+(($I$12/$H$16)*('User Volumes'!G16/1000000))+(($J$12/$H$16)*('User Volumes'!I16/1000000))</f>
        <v>3.8069499810536063</v>
      </c>
      <c r="H26" s="304">
        <f>($H$12/$H$16)*('User Volumes'!D16/1000000)</f>
        <v>2.9648535856179539</v>
      </c>
      <c r="I26" s="298"/>
      <c r="J26" s="180" t="s">
        <v>312</v>
      </c>
      <c r="K26" s="181">
        <v>1071595</v>
      </c>
      <c r="L26" s="181">
        <v>146058398.5</v>
      </c>
      <c r="M26" s="227">
        <v>190347420</v>
      </c>
      <c r="N26" s="227">
        <v>177.63000013997825</v>
      </c>
      <c r="O26" s="188"/>
      <c r="P26" s="266"/>
      <c r="Q26" s="266"/>
      <c r="R26" s="307"/>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s="14"/>
    </row>
    <row r="27" spans="1:56" x14ac:dyDescent="0.25">
      <c r="A27" s="1">
        <f>IF(A26&lt;'Project Information'!B$11,A26+1,"")</f>
        <v>2047</v>
      </c>
      <c r="B27" s="119">
        <f t="shared" si="0"/>
        <v>432.23544583368738</v>
      </c>
      <c r="E27" s="13"/>
      <c r="F27" s="291">
        <v>2035</v>
      </c>
      <c r="G27" s="303">
        <f>(($H$12/$H$16)*('User Volumes'!E17/1000000))+(($I$12/$H$16)*('User Volumes'!G17/1000000))+(($J$12/$H$16)*('User Volumes'!I17/1000000))</f>
        <v>3.845019480864142</v>
      </c>
      <c r="H27" s="304">
        <f>($H$12/$H$16)*('User Volumes'!D17/1000000)</f>
        <v>2.9945021214741332</v>
      </c>
      <c r="I27" s="298"/>
      <c r="J27" s="180" t="s">
        <v>565</v>
      </c>
      <c r="K27" s="181">
        <v>21821</v>
      </c>
      <c r="L27" s="181">
        <v>2974202.3000000003</v>
      </c>
      <c r="M27" s="227">
        <v>109105000</v>
      </c>
      <c r="N27" s="227">
        <v>5000</v>
      </c>
      <c r="O27" s="188"/>
      <c r="P27" s="266"/>
      <c r="Q27" s="266"/>
      <c r="R27" s="190"/>
      <c r="S27" s="190"/>
      <c r="T27" s="190"/>
      <c r="U27" s="190"/>
      <c r="V27" s="190"/>
      <c r="W27"/>
      <c r="X27"/>
      <c r="Y27"/>
      <c r="Z27"/>
      <c r="AA27"/>
      <c r="AB27"/>
      <c r="AC27"/>
      <c r="AD27"/>
      <c r="AE27"/>
      <c r="AF27"/>
      <c r="AG27"/>
      <c r="AH27"/>
      <c r="AI27"/>
      <c r="AJ27"/>
      <c r="AK27"/>
      <c r="AL27"/>
      <c r="AM27"/>
      <c r="AN27"/>
      <c r="AO27"/>
      <c r="AP27"/>
      <c r="AQ27"/>
      <c r="AR27"/>
      <c r="AS27"/>
      <c r="AT27"/>
      <c r="AU27"/>
      <c r="AV27"/>
      <c r="AW27"/>
      <c r="AX27"/>
      <c r="AY27"/>
      <c r="AZ27"/>
      <c r="BA27"/>
      <c r="BB27"/>
      <c r="BC27"/>
      <c r="BD27" s="14"/>
    </row>
    <row r="28" spans="1:56" x14ac:dyDescent="0.25">
      <c r="A28" s="1" t="str">
        <f>IF(A27&lt;'Project Information'!B$11,A27+1,"")</f>
        <v/>
      </c>
      <c r="B28" s="164"/>
      <c r="E28" s="13"/>
      <c r="F28" s="291">
        <v>2036</v>
      </c>
      <c r="G28" s="303">
        <f>(($H$12/$H$16)*('User Volumes'!E18/1000000))+(($I$12/$H$16)*('User Volumes'!G18/1000000))+(($J$12/$H$16)*('User Volumes'!I18/1000000))</f>
        <v>3.8834696756727838</v>
      </c>
      <c r="H28" s="304">
        <f>($H$12/$H$16)*('User Volumes'!D18/1000000)</f>
        <v>3.0244471426888744</v>
      </c>
      <c r="I28" s="298"/>
      <c r="J28" s="180" t="s">
        <v>309</v>
      </c>
      <c r="K28" s="181">
        <v>788537</v>
      </c>
      <c r="L28" s="181">
        <v>107477593.10000001</v>
      </c>
      <c r="M28" s="227">
        <v>277825241</v>
      </c>
      <c r="N28" s="227">
        <v>352.32999973368402</v>
      </c>
      <c r="O28" s="188"/>
      <c r="P28" s="266"/>
      <c r="Q28" s="266"/>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s="14"/>
    </row>
    <row r="29" spans="1:56" x14ac:dyDescent="0.25">
      <c r="A29" s="1" t="str">
        <f>IF(A28&lt;'Project Information'!B$11,A28+1,"")</f>
        <v/>
      </c>
      <c r="B29" s="164"/>
      <c r="E29" s="13"/>
      <c r="F29" s="291">
        <v>2037</v>
      </c>
      <c r="G29" s="303">
        <f>(($H$12/$H$16)*('User Volumes'!E19/1000000))+(($I$12/$H$16)*('User Volumes'!G19/1000000))+(($J$12/$H$16)*('User Volumes'!I19/1000000))</f>
        <v>3.9223043724295121</v>
      </c>
      <c r="H29" s="304">
        <f>($H$12/$H$16)*('User Volumes'!D19/1000000)</f>
        <v>3.0546916141157636</v>
      </c>
      <c r="I29" s="298"/>
      <c r="J29" s="179" t="s">
        <v>377</v>
      </c>
      <c r="K29" s="178">
        <v>4755337</v>
      </c>
      <c r="L29" s="178">
        <v>648152433.10000002</v>
      </c>
      <c r="M29" s="229">
        <v>2144677576</v>
      </c>
      <c r="N29" s="229"/>
      <c r="O29" s="188"/>
      <c r="P29" s="266"/>
      <c r="Q29" s="266"/>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s="14"/>
    </row>
    <row r="30" spans="1:56" ht="15.75" customHeight="1" x14ac:dyDescent="0.25">
      <c r="A30" s="1" t="str">
        <f>IF(A29&lt;'Project Information'!B$11,A29+1,"")</f>
        <v/>
      </c>
      <c r="B30" s="164"/>
      <c r="E30" s="13"/>
      <c r="F30" s="291">
        <v>2038</v>
      </c>
      <c r="G30" s="303">
        <f>(($H$12/$H$16)*('User Volumes'!E20/1000000))+(($I$12/$H$16)*('User Volumes'!G20/1000000))+(($J$12/$H$16)*('User Volumes'!I20/1000000))</f>
        <v>3.9615274161538072</v>
      </c>
      <c r="H30" s="304">
        <f>($H$12/$H$16)*('User Volumes'!D20/1000000)</f>
        <v>3.085238530256921</v>
      </c>
      <c r="I30" s="298"/>
      <c r="J30" s="190" t="s">
        <v>566</v>
      </c>
      <c r="K30" s="190"/>
      <c r="L30" s="190"/>
      <c r="M30"/>
      <c r="N30"/>
      <c r="O30" s="188"/>
      <c r="P30" s="266"/>
      <c r="Q30" s="266"/>
      <c r="R30" s="245"/>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s="14"/>
    </row>
    <row r="31" spans="1:56" ht="15" customHeight="1" x14ac:dyDescent="0.25">
      <c r="A31" s="1" t="str">
        <f>IF(A30&lt;'Project Information'!B$11,A30+1,"")</f>
        <v/>
      </c>
      <c r="B31" s="164"/>
      <c r="E31" s="13"/>
      <c r="F31" s="291">
        <v>2039</v>
      </c>
      <c r="G31" s="303">
        <f>(($H$12/$H$16)*('User Volumes'!E21/1000000))+(($I$12/$H$16)*('User Volumes'!G21/1000000))+(($J$12/$H$16)*('User Volumes'!I21/1000000))</f>
        <v>4.0011426903153451</v>
      </c>
      <c r="H31" s="304">
        <f>($H$12/$H$16)*('User Volumes'!D21/1000000)</f>
        <v>3.1160909155594902</v>
      </c>
      <c r="I31" s="298"/>
      <c r="J31" s="234" t="s">
        <v>567</v>
      </c>
      <c r="K31"/>
      <c r="L31"/>
      <c r="M31"/>
      <c r="N31"/>
      <c r="O31" s="188"/>
      <c r="P31" s="266"/>
      <c r="Q31" s="266"/>
      <c r="R31" s="308"/>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s="14"/>
    </row>
    <row r="32" spans="1:56" x14ac:dyDescent="0.25">
      <c r="A32" s="1" t="str">
        <f>IF(A31&lt;'Project Information'!B$11,A31+1,"")</f>
        <v/>
      </c>
      <c r="B32" s="164"/>
      <c r="E32" s="13"/>
      <c r="F32" s="291">
        <v>2040</v>
      </c>
      <c r="G32" s="303">
        <f>(($H$12/$H$16)*('User Volumes'!E22/1000000))+(($I$12/$H$16)*('User Volumes'!G22/1000000))+(($J$12/$H$16)*('User Volumes'!I22/1000000))</f>
        <v>4.0411541172184977</v>
      </c>
      <c r="H32" s="304">
        <f>($H$12/$H$16)*('User Volumes'!D22/1000000)</f>
        <v>3.1472518247150849</v>
      </c>
      <c r="I32" s="298"/>
      <c r="J32" s="190" t="s">
        <v>568</v>
      </c>
      <c r="K32" s="190"/>
      <c r="L32" s="190"/>
      <c r="M32" s="190"/>
      <c r="N32" s="190"/>
      <c r="O32" s="188"/>
      <c r="P32" s="265"/>
      <c r="Q32" s="265"/>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s="14"/>
    </row>
    <row r="33" spans="1:56" x14ac:dyDescent="0.25">
      <c r="A33" s="1" t="str">
        <f>IF(A32&lt;'Project Information'!B$11,A32+1,"")</f>
        <v/>
      </c>
      <c r="B33" s="164"/>
      <c r="E33" s="13"/>
      <c r="F33" s="291">
        <v>2041</v>
      </c>
      <c r="G33" s="303">
        <f>(($H$12/$H$16)*('User Volumes'!E23/1000000))+(($I$12/$H$16)*('User Volumes'!G23/1000000))+(($J$12/$H$16)*('User Volumes'!I23/1000000))</f>
        <v>4.0815656583906836</v>
      </c>
      <c r="H33" s="304">
        <f>($H$12/$H$16)*('User Volumes'!D23/1000000)</f>
        <v>3.1787243429622363</v>
      </c>
      <c r="I33" s="298"/>
      <c r="J33"/>
      <c r="K33"/>
      <c r="L33"/>
      <c r="M33"/>
      <c r="N33"/>
      <c r="O33" s="188"/>
      <c r="P33" s="190"/>
      <c r="Q33" s="190"/>
      <c r="R33" s="190"/>
      <c r="S33" s="190"/>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s="14"/>
    </row>
    <row r="34" spans="1:56" x14ac:dyDescent="0.25">
      <c r="A34" s="1" t="str">
        <f>IF(A33&lt;'Project Information'!B$11,A33+1,"")</f>
        <v/>
      </c>
      <c r="B34" s="164"/>
      <c r="E34" s="13"/>
      <c r="F34" s="291">
        <v>2042</v>
      </c>
      <c r="G34" s="303">
        <f>(($H$12/$H$16)*('User Volumes'!E24/1000000))+(($I$12/$H$16)*('User Volumes'!G24/1000000))+(($J$12/$H$16)*('User Volumes'!I24/1000000))</f>
        <v>4.1223813149745903</v>
      </c>
      <c r="H34" s="304">
        <f>($H$12/$H$16)*('User Volumes'!D24/1000000)</f>
        <v>3.2105115863918581</v>
      </c>
      <c r="I34" s="298"/>
      <c r="J34"/>
      <c r="K34"/>
      <c r="L34"/>
      <c r="M34"/>
      <c r="N34"/>
      <c r="O34" s="188"/>
      <c r="P34" s="190"/>
      <c r="Q34" s="190"/>
      <c r="R34" s="190"/>
      <c r="S34" s="190"/>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s="14"/>
    </row>
    <row r="35" spans="1:56" x14ac:dyDescent="0.25">
      <c r="A35" s="1" t="str">
        <f>IF(A34&lt;'Project Information'!B$11,A34+1,"")</f>
        <v/>
      </c>
      <c r="B35" s="164"/>
      <c r="E35" s="13"/>
      <c r="F35" s="291">
        <v>2043</v>
      </c>
      <c r="G35" s="303">
        <f>(($H$12/$H$16)*('User Volumes'!E25/1000000))+(($I$12/$H$16)*('User Volumes'!G25/1000000))+(($J$12/$H$16)*('User Volumes'!I25/1000000))</f>
        <v>4.1636051281243365</v>
      </c>
      <c r="H35" s="304">
        <f>($H$12/$H$16)*('User Volumes'!D25/1000000)</f>
        <v>3.242616702255777</v>
      </c>
      <c r="I35" s="298"/>
      <c r="J35" s="256" t="s">
        <v>569</v>
      </c>
      <c r="K35"/>
      <c r="L35"/>
      <c r="M35"/>
      <c r="N35"/>
      <c r="O35" s="188"/>
      <c r="P35" s="190"/>
      <c r="Q35" s="190"/>
      <c r="R35" s="190"/>
      <c r="S35" s="190"/>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s="14"/>
    </row>
    <row r="36" spans="1:56" x14ac:dyDescent="0.25">
      <c r="A36" s="1" t="str">
        <f>IF(A35&lt;'Project Information'!B$11,A35+1,"")</f>
        <v/>
      </c>
      <c r="B36" s="164"/>
      <c r="E36" s="13"/>
      <c r="F36" s="291">
        <v>2044</v>
      </c>
      <c r="G36" s="303">
        <f>(($H$12/$H$16)*('User Volumes'!E26/1000000))+(($I$12/$H$16)*('User Volumes'!G26/1000000))+(($J$12/$H$16)*('User Volumes'!I26/1000000))</f>
        <v>4.2052411794055802</v>
      </c>
      <c r="H36" s="304">
        <f>($H$12/$H$16)*('User Volumes'!D26/1000000)</f>
        <v>3.2750428692783347</v>
      </c>
      <c r="I36" s="298"/>
      <c r="J36" s="264">
        <v>451.00432966159917</v>
      </c>
      <c r="K36"/>
      <c r="L36"/>
      <c r="M36"/>
      <c r="N36"/>
      <c r="O36" s="188"/>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s="14"/>
    </row>
    <row r="37" spans="1:56" x14ac:dyDescent="0.25">
      <c r="A37" s="2" t="str">
        <f>IF(A36&lt;'Project Information'!B$11,A36+1,"")</f>
        <v/>
      </c>
      <c r="B37" s="164"/>
      <c r="E37" s="13"/>
      <c r="F37" s="291">
        <v>2045</v>
      </c>
      <c r="G37" s="303">
        <f>(($H$12/$H$16)*('User Volumes'!E27/1000000))+(($I$12/$H$16)*('User Volumes'!G27/1000000))+(($J$12/$H$16)*('User Volumes'!I27/1000000))</f>
        <v>4.247293591199635</v>
      </c>
      <c r="H37" s="304">
        <f>($H$12/$H$16)*('User Volumes'!D27/1000000)</f>
        <v>3.3077932979711187</v>
      </c>
      <c r="I37" s="298"/>
      <c r="J37" s="298"/>
      <c r="K37" s="188"/>
      <c r="L37" s="188"/>
      <c r="M37" s="188"/>
      <c r="N37" s="188"/>
      <c r="O37" s="188"/>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s="14"/>
    </row>
    <row r="38" spans="1:56" x14ac:dyDescent="0.25">
      <c r="E38" s="13"/>
      <c r="F38" s="291">
        <v>2046</v>
      </c>
      <c r="G38" s="303">
        <f>(($H$12/$H$16)*('User Volumes'!E28/1000000))+(($I$12/$H$16)*('User Volumes'!G28/1000000))+(($J$12/$H$16)*('User Volumes'!I28/1000000))</f>
        <v>4.2897665271116319</v>
      </c>
      <c r="H38" s="304">
        <f>($H$12/$H$16)*('User Volumes'!D28/1000000)</f>
        <v>3.3408712309508299</v>
      </c>
      <c r="I38" s="298"/>
      <c r="J38" s="298"/>
      <c r="K38" s="188"/>
      <c r="L38" s="188"/>
      <c r="M38" s="188"/>
      <c r="N38" s="188"/>
      <c r="O38" s="18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s="14"/>
    </row>
    <row r="39" spans="1:56" x14ac:dyDescent="0.25">
      <c r="E39" s="13"/>
      <c r="F39" s="291">
        <v>2047</v>
      </c>
      <c r="G39" s="303">
        <f>(($H$12/$H$16)*('User Volumes'!E29/1000000))+(($I$12/$H$16)*('User Volumes'!G29/1000000))+(($J$12/$H$16)*('User Volumes'!I29/1000000))</f>
        <v>4.3326641923827474</v>
      </c>
      <c r="H39" s="304">
        <f>($H$12/$H$16)*('User Volumes'!D29/1000000)</f>
        <v>3.3742799432603379</v>
      </c>
      <c r="I39" s="188"/>
      <c r="J39" s="188"/>
      <c r="K39" s="188"/>
      <c r="L39" s="188"/>
      <c r="M39" s="188"/>
      <c r="N39" s="188"/>
      <c r="O39" s="188"/>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s="14"/>
    </row>
    <row r="40" spans="1:56" x14ac:dyDescent="0.25">
      <c r="E40" s="13"/>
      <c r="F40" s="245"/>
      <c r="G40" s="188"/>
      <c r="H40" s="188"/>
      <c r="I40" s="188"/>
      <c r="J40" s="188"/>
      <c r="K40" s="188"/>
      <c r="L40" s="188"/>
      <c r="M40" s="188"/>
      <c r="N40" s="188"/>
      <c r="O40" s="188"/>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s="14"/>
    </row>
    <row r="41" spans="1:56" x14ac:dyDescent="0.25">
      <c r="E41" s="13"/>
      <c r="F41" s="245"/>
      <c r="G41" s="188"/>
      <c r="H41" s="188"/>
      <c r="I41" s="188"/>
      <c r="J41" s="188"/>
      <c r="K41" s="188"/>
      <c r="L41" s="188"/>
      <c r="M41" s="188"/>
      <c r="N41" s="188"/>
      <c r="O41" s="188"/>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s="14"/>
    </row>
    <row r="42" spans="1:56" x14ac:dyDescent="0.25">
      <c r="E42" s="13"/>
      <c r="F42" s="245"/>
      <c r="G42" s="188"/>
      <c r="H42" s="188"/>
      <c r="I42" s="188"/>
      <c r="J42" s="188"/>
      <c r="K42" s="188"/>
      <c r="L42" s="188"/>
      <c r="M42" s="188"/>
      <c r="N42" s="188"/>
      <c r="O42" s="188"/>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s="14"/>
    </row>
    <row r="43" spans="1:56" x14ac:dyDescent="0.25">
      <c r="E43" s="13"/>
      <c r="F43" s="245"/>
      <c r="G43" s="188"/>
      <c r="H43" s="188"/>
      <c r="I43" s="188"/>
      <c r="J43" s="188"/>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s="14"/>
    </row>
    <row r="44" spans="1:56" x14ac:dyDescent="0.25">
      <c r="E44" s="13"/>
      <c r="F44" s="245"/>
      <c r="G44" s="188"/>
      <c r="H44" s="188"/>
      <c r="I44" s="188"/>
      <c r="J44" s="188"/>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s="14"/>
    </row>
    <row r="45" spans="1:56" x14ac:dyDescent="0.25">
      <c r="E45" s="13"/>
      <c r="F45" s="245"/>
      <c r="G45" s="188"/>
      <c r="H45" s="188"/>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s="14"/>
    </row>
    <row r="46" spans="1:56"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s="14"/>
    </row>
    <row r="47" spans="1:56"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s="14"/>
    </row>
    <row r="48" spans="1:56"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s="14"/>
    </row>
    <row r="49" spans="5:56"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s="14"/>
    </row>
    <row r="50" spans="5:56"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s="14"/>
    </row>
    <row r="51" spans="5:56"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s="14"/>
    </row>
    <row r="52" spans="5:56"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s="14"/>
    </row>
    <row r="53" spans="5:56"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s="14"/>
    </row>
    <row r="54" spans="5:56"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s="14"/>
    </row>
    <row r="55" spans="5:56"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s="14"/>
    </row>
    <row r="56" spans="5:56"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s="14"/>
    </row>
    <row r="57" spans="5:56"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s="14"/>
    </row>
    <row r="58" spans="5:56"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s="14"/>
    </row>
    <row r="59" spans="5:56"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s="14"/>
    </row>
    <row r="60" spans="5:56"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s="14"/>
    </row>
    <row r="61" spans="5:56"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s="14"/>
    </row>
    <row r="62" spans="5:56"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s="14"/>
    </row>
    <row r="63" spans="5:56"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s="14"/>
    </row>
    <row r="64" spans="5:56"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s="14"/>
    </row>
    <row r="65" spans="5:56"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s="14"/>
    </row>
    <row r="66" spans="5:56"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s="14"/>
    </row>
    <row r="67" spans="5:56"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s="14"/>
    </row>
    <row r="68" spans="5:56"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s="14"/>
    </row>
    <row r="69" spans="5:56"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s="14"/>
    </row>
    <row r="70" spans="5:56"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s="14"/>
    </row>
    <row r="71" spans="5:56"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s="14"/>
    </row>
    <row r="72" spans="5:56"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s="14"/>
    </row>
    <row r="73" spans="5:56"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s="14"/>
    </row>
    <row r="74" spans="5:56"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s="14"/>
    </row>
    <row r="75" spans="5:56"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s="14"/>
    </row>
    <row r="76" spans="5:56"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s="14"/>
    </row>
    <row r="77" spans="5:56"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s="14"/>
    </row>
    <row r="78" spans="5:56"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s="14"/>
    </row>
    <row r="79" spans="5:56"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s="14"/>
    </row>
    <row r="80" spans="5:56"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s="14"/>
    </row>
    <row r="81" spans="5:56"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s="14"/>
    </row>
    <row r="82" spans="5:56"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s="14"/>
    </row>
    <row r="83" spans="5:56"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s="14"/>
    </row>
    <row r="84" spans="5:56"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s="14"/>
    </row>
    <row r="85" spans="5:56"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s="14"/>
    </row>
    <row r="86" spans="5:56"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s="14"/>
    </row>
    <row r="87" spans="5:56" ht="15.75" thickBot="1" x14ac:dyDescent="0.3">
      <c r="E87" s="15"/>
      <c r="F87"/>
      <c r="G87"/>
      <c r="H87"/>
      <c r="I87"/>
      <c r="J87"/>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7"/>
    </row>
    <row r="88" spans="5:56" x14ac:dyDescent="0.25">
      <c r="F88"/>
      <c r="G88"/>
      <c r="H88"/>
      <c r="I88"/>
      <c r="J88"/>
    </row>
    <row r="89" spans="5:56" ht="15.75" thickBot="1" x14ac:dyDescent="0.3">
      <c r="F89"/>
      <c r="G89"/>
      <c r="H89"/>
      <c r="I89" s="16"/>
      <c r="J89" s="16"/>
    </row>
    <row r="90" spans="5:56" ht="15.75" thickBot="1" x14ac:dyDescent="0.3">
      <c r="F90" s="16"/>
      <c r="G90" s="16"/>
      <c r="H90" s="16"/>
    </row>
  </sheetData>
  <mergeCells count="6">
    <mergeCell ref="J16:N16"/>
    <mergeCell ref="R11:V11"/>
    <mergeCell ref="M10:Q10"/>
    <mergeCell ref="K10:K11"/>
    <mergeCell ref="L10:L11"/>
    <mergeCell ref="G10:J10"/>
  </mergeCells>
  <conditionalFormatting sqref="B8:B37">
    <cfRule type="expression" dxfId="4" priority="7">
      <formula>#REF!=""</formula>
    </cfRule>
  </conditionalFormatting>
  <hyperlinks>
    <hyperlink ref="J31" r:id="rId1" xr:uid="{65C67AA1-ABF6-41C9-B938-BBB14056A723}"/>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758C-DD7B-441C-AA2D-42F280A3896C}">
  <sheetPr>
    <tabColor theme="9" tint="0.39997558519241921"/>
  </sheetPr>
  <dimension ref="A1:AZ87"/>
  <sheetViews>
    <sheetView workbookViewId="0">
      <selection activeCell="B7" sqref="B7"/>
    </sheetView>
  </sheetViews>
  <sheetFormatPr defaultColWidth="9.140625" defaultRowHeight="15" x14ac:dyDescent="0.25"/>
  <cols>
    <col min="1" max="1" width="32.85546875" style="5" customWidth="1"/>
    <col min="2" max="2" width="40.7109375" style="5" customWidth="1"/>
    <col min="3" max="16384" width="9.140625" style="5"/>
  </cols>
  <sheetData>
    <row r="1" spans="1:52" ht="20.25" thickBot="1" x14ac:dyDescent="0.35">
      <c r="A1" s="95" t="s">
        <v>570</v>
      </c>
    </row>
    <row r="2" spans="1:52" ht="15.75" thickTop="1" x14ac:dyDescent="0.25">
      <c r="A2" s="151" t="s">
        <v>549</v>
      </c>
      <c r="B2" s="151"/>
      <c r="C2" s="151"/>
    </row>
    <row r="3" spans="1:52" x14ac:dyDescent="0.25">
      <c r="A3" s="5" t="s">
        <v>30</v>
      </c>
    </row>
    <row r="4" spans="1:52" x14ac:dyDescent="0.25">
      <c r="A4" s="152" t="s">
        <v>399</v>
      </c>
      <c r="B4" s="151"/>
      <c r="C4" s="151"/>
      <c r="D4" s="151"/>
      <c r="E4" s="151"/>
      <c r="F4" s="151"/>
      <c r="G4" s="151"/>
      <c r="H4" s="151"/>
      <c r="I4" s="151"/>
      <c r="J4" s="151"/>
      <c r="K4" s="151"/>
      <c r="L4" s="151"/>
    </row>
    <row r="5" spans="1:52" x14ac:dyDescent="0.25">
      <c r="A5" s="5" t="s">
        <v>30</v>
      </c>
    </row>
    <row r="6" spans="1:52" ht="15.75" thickBot="1" x14ac:dyDescent="0.3">
      <c r="A6" s="96" t="s">
        <v>550</v>
      </c>
    </row>
    <row r="7" spans="1:52" x14ac:dyDescent="0.25">
      <c r="A7" s="106" t="s">
        <v>239</v>
      </c>
      <c r="B7" s="24" t="s">
        <v>570</v>
      </c>
      <c r="C7" s="5" t="s">
        <v>571</v>
      </c>
      <c r="E7" s="10" t="s">
        <v>238</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5">
      <c r="A8" s="6">
        <f>'Project Information'!$B$9</f>
        <v>2028</v>
      </c>
      <c r="B8" s="163">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5">
      <c r="A9" s="1">
        <f>IF(A8&lt;'Project Information'!B$11,A8+1,"")</f>
        <v>2029</v>
      </c>
      <c r="B9" s="163">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
        <f>IF(A9&lt;'Project Information'!B$11,A9+1,"")</f>
        <v>2030</v>
      </c>
      <c r="B10" s="163">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
        <f>IF(A10&lt;'Project Information'!B$11,A10+1,"")</f>
        <v>2031</v>
      </c>
      <c r="B11" s="163">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
        <f>IF(A11&lt;'Project Information'!B$11,A11+1,"")</f>
        <v>2032</v>
      </c>
      <c r="B12" s="163">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
        <f>IF(A12&lt;'Project Information'!B$11,A12+1,"")</f>
        <v>2033</v>
      </c>
      <c r="B13" s="163">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
        <f>IF(A13&lt;'Project Information'!B$11,A13+1,"")</f>
        <v>2034</v>
      </c>
      <c r="B14" s="163">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
        <f>IF(A14&lt;'Project Information'!B$11,A14+1,"")</f>
        <v>2035</v>
      </c>
      <c r="B15" s="163">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
        <f>IF(A15&lt;'Project Information'!B$11,A15+1,"")</f>
        <v>2036</v>
      </c>
      <c r="B16" s="163">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
        <f>IF(A16&lt;'Project Information'!B$11,A16+1,"")</f>
        <v>2037</v>
      </c>
      <c r="B17" s="163">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
        <f>IF(A17&lt;'Project Information'!B$11,A17+1,"")</f>
        <v>2038</v>
      </c>
      <c r="B18" s="163">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
        <f>IF(A18&lt;'Project Information'!B$11,A18+1,"")</f>
        <v>2039</v>
      </c>
      <c r="B19" s="163">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
        <f>IF(A19&lt;'Project Information'!B$11,A19+1,"")</f>
        <v>2040</v>
      </c>
      <c r="B20" s="163">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
        <f>IF(A20&lt;'Project Information'!B$11,A20+1,"")</f>
        <v>2041</v>
      </c>
      <c r="B21" s="163">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
        <f>IF(A21&lt;'Project Information'!B$11,A21+1,"")</f>
        <v>2042</v>
      </c>
      <c r="B22" s="163">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
        <f>IF(A22&lt;'Project Information'!B$11,A22+1,"")</f>
        <v>2043</v>
      </c>
      <c r="B23" s="163">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
        <f>IF(A23&lt;'Project Information'!B$11,A23+1,"")</f>
        <v>2044</v>
      </c>
      <c r="B24" s="163">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
        <f>IF(A24&lt;'Project Information'!B$11,A24+1,"")</f>
        <v>2045</v>
      </c>
      <c r="B25" s="163">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
        <f>IF(A25&lt;'Project Information'!B$11,A25+1,"")</f>
        <v>2046</v>
      </c>
      <c r="B26" s="163">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
        <f>IF(A26&lt;'Project Information'!B$11,A26+1,"")</f>
        <v>2047</v>
      </c>
      <c r="B27" s="163">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 t="str">
        <f>IF(A27&lt;'Project Information'!B$11,A27+1,"")</f>
        <v/>
      </c>
      <c r="B28" s="163">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 t="str">
        <f>IF(A28&lt;'Project Information'!B$11,A28+1,"")</f>
        <v/>
      </c>
      <c r="B29" s="163">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 t="str">
        <f>IF(A29&lt;'Project Information'!B$11,A29+1,"")</f>
        <v/>
      </c>
      <c r="B30" s="163">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 t="str">
        <f>IF(A30&lt;'Project Information'!B$11,A30+1,"")</f>
        <v/>
      </c>
      <c r="B31" s="163">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 t="str">
        <f>IF(A31&lt;'Project Information'!B$11,A31+1,"")</f>
        <v/>
      </c>
      <c r="B32" s="163">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 t="str">
        <f>IF(A32&lt;'Project Information'!B$11,A32+1,"")</f>
        <v/>
      </c>
      <c r="B33" s="163">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 t="str">
        <f>IF(A33&lt;'Project Information'!B$11,A33+1,"")</f>
        <v/>
      </c>
      <c r="B34" s="163">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 t="str">
        <f>IF(A34&lt;'Project Information'!B$11,A34+1,"")</f>
        <v/>
      </c>
      <c r="B35" s="163">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 t="str">
        <f>IF(A35&lt;'Project Information'!B$11,A35+1,"")</f>
        <v/>
      </c>
      <c r="B36" s="163">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2" t="str">
        <f>IF(A36&lt;'Project Information'!B$11,A36+1,"")</f>
        <v/>
      </c>
      <c r="B37" s="119">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x14ac:dyDescent="0.3">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3" priority="1">
      <formula>A8=""</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6E43-6B22-4737-8E2E-57A059E7E54E}">
  <sheetPr>
    <tabColor theme="9" tint="0.39997558519241921"/>
  </sheetPr>
  <dimension ref="A1:AZ87"/>
  <sheetViews>
    <sheetView workbookViewId="0">
      <selection activeCell="F24" sqref="F24"/>
    </sheetView>
  </sheetViews>
  <sheetFormatPr defaultColWidth="9.140625" defaultRowHeight="15" x14ac:dyDescent="0.25"/>
  <cols>
    <col min="1" max="1" width="28" style="5" customWidth="1"/>
    <col min="2" max="2" width="40.7109375" style="5" customWidth="1"/>
    <col min="3" max="16384" width="9.140625" style="5"/>
  </cols>
  <sheetData>
    <row r="1" spans="1:52" ht="20.25" thickBot="1" x14ac:dyDescent="0.35">
      <c r="A1" s="95" t="s">
        <v>572</v>
      </c>
    </row>
    <row r="2" spans="1:52" ht="15.75" thickTop="1" x14ac:dyDescent="0.25">
      <c r="A2" s="151" t="s">
        <v>549</v>
      </c>
      <c r="B2" s="151"/>
      <c r="C2" s="151"/>
    </row>
    <row r="3" spans="1:52" x14ac:dyDescent="0.25">
      <c r="A3" s="5" t="s">
        <v>30</v>
      </c>
    </row>
    <row r="4" spans="1:52" x14ac:dyDescent="0.25">
      <c r="A4" s="152" t="s">
        <v>399</v>
      </c>
      <c r="B4" s="151"/>
      <c r="C4" s="151"/>
      <c r="D4" s="151"/>
      <c r="E4" s="151"/>
      <c r="F4" s="151"/>
      <c r="G4" s="151"/>
      <c r="H4" s="151"/>
      <c r="I4" s="151"/>
      <c r="J4" s="151"/>
      <c r="K4" s="151"/>
      <c r="L4" s="151"/>
    </row>
    <row r="5" spans="1:52" x14ac:dyDescent="0.25">
      <c r="A5" s="5" t="s">
        <v>30</v>
      </c>
    </row>
    <row r="6" spans="1:52" ht="15.75" thickBot="1" x14ac:dyDescent="0.3">
      <c r="A6" s="96" t="s">
        <v>550</v>
      </c>
    </row>
    <row r="7" spans="1:52" x14ac:dyDescent="0.25">
      <c r="A7" s="106" t="s">
        <v>239</v>
      </c>
      <c r="B7" s="24" t="s">
        <v>572</v>
      </c>
      <c r="C7" s="5" t="s">
        <v>571</v>
      </c>
      <c r="E7" s="10" t="s">
        <v>238</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5">
      <c r="A8" s="6">
        <f>'Project Information'!$B$9</f>
        <v>2028</v>
      </c>
      <c r="B8" s="163"/>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5">
      <c r="A9" s="1">
        <f>IF(A8&lt;'Project Information'!B$11,A8+1,"")</f>
        <v>2029</v>
      </c>
      <c r="B9" s="163"/>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
        <f>IF(A9&lt;'Project Information'!B$11,A9+1,"")</f>
        <v>2030</v>
      </c>
      <c r="B10" s="163"/>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
        <f>IF(A10&lt;'Project Information'!B$11,A10+1,"")</f>
        <v>2031</v>
      </c>
      <c r="B11" s="163"/>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
        <f>IF(A11&lt;'Project Information'!B$11,A11+1,"")</f>
        <v>2032</v>
      </c>
      <c r="B12" s="163"/>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
        <f>IF(A12&lt;'Project Information'!B$11,A12+1,"")</f>
        <v>2033</v>
      </c>
      <c r="B13" s="163"/>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
        <f>IF(A13&lt;'Project Information'!B$11,A13+1,"")</f>
        <v>2034</v>
      </c>
      <c r="B14" s="163"/>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
        <f>IF(A14&lt;'Project Information'!B$11,A14+1,"")</f>
        <v>2035</v>
      </c>
      <c r="B15" s="163"/>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
        <f>IF(A15&lt;'Project Information'!B$11,A15+1,"")</f>
        <v>2036</v>
      </c>
      <c r="B16" s="163"/>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
        <f>IF(A16&lt;'Project Information'!B$11,A16+1,"")</f>
        <v>2037</v>
      </c>
      <c r="B17" s="163"/>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
        <f>IF(A17&lt;'Project Information'!B$11,A17+1,"")</f>
        <v>2038</v>
      </c>
      <c r="B18" s="163"/>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
        <f>IF(A18&lt;'Project Information'!B$11,A18+1,"")</f>
        <v>2039</v>
      </c>
      <c r="B19" s="163"/>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
        <f>IF(A19&lt;'Project Information'!B$11,A19+1,"")</f>
        <v>2040</v>
      </c>
      <c r="B20" s="163"/>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
        <f>IF(A20&lt;'Project Information'!B$11,A20+1,"")</f>
        <v>2041</v>
      </c>
      <c r="B21" s="163"/>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
        <f>IF(A21&lt;'Project Information'!B$11,A21+1,"")</f>
        <v>2042</v>
      </c>
      <c r="B22" s="163"/>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
        <f>IF(A22&lt;'Project Information'!B$11,A22+1,"")</f>
        <v>2043</v>
      </c>
      <c r="B23" s="163"/>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
        <f>IF(A23&lt;'Project Information'!B$11,A23+1,"")</f>
        <v>2044</v>
      </c>
      <c r="B24" s="163"/>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
        <f>IF(A24&lt;'Project Information'!B$11,A24+1,"")</f>
        <v>2045</v>
      </c>
      <c r="B25" s="163"/>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
        <f>IF(A25&lt;'Project Information'!B$11,A25+1,"")</f>
        <v>2046</v>
      </c>
      <c r="B26" s="163"/>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
        <f>IF(A26&lt;'Project Information'!B$11,A26+1,"")</f>
        <v>2047</v>
      </c>
      <c r="B27" s="163"/>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 t="str">
        <f>IF(A27&lt;'Project Information'!B$11,A27+1,"")</f>
        <v/>
      </c>
      <c r="B28" s="163">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 t="str">
        <f>IF(A28&lt;'Project Information'!B$11,A28+1,"")</f>
        <v/>
      </c>
      <c r="B29" s="163">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 t="str">
        <f>IF(A29&lt;'Project Information'!B$11,A29+1,"")</f>
        <v/>
      </c>
      <c r="B30" s="163">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 t="str">
        <f>IF(A30&lt;'Project Information'!B$11,A30+1,"")</f>
        <v/>
      </c>
      <c r="B31" s="163">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 t="str">
        <f>IF(A31&lt;'Project Information'!B$11,A31+1,"")</f>
        <v/>
      </c>
      <c r="B32" s="163">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 t="str">
        <f>IF(A32&lt;'Project Information'!B$11,A32+1,"")</f>
        <v/>
      </c>
      <c r="B33" s="163">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 t="str">
        <f>IF(A33&lt;'Project Information'!B$11,A33+1,"")</f>
        <v/>
      </c>
      <c r="B34" s="163">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 t="str">
        <f>IF(A34&lt;'Project Information'!B$11,A34+1,"")</f>
        <v/>
      </c>
      <c r="B35" s="163">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 t="str">
        <f>IF(A35&lt;'Project Information'!B$11,A35+1,"")</f>
        <v/>
      </c>
      <c r="B36" s="163">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2" t="str">
        <f>IF(A36&lt;'Project Information'!B$11,A36+1,"")</f>
        <v/>
      </c>
      <c r="B37" s="119">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x14ac:dyDescent="0.3">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2" priority="1">
      <formula>A8=""</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C50E-A8C3-41A1-9AAA-104E7953FC32}">
  <sheetPr>
    <tabColor theme="9" tint="0.39997558519241921"/>
  </sheetPr>
  <dimension ref="A1:AZ91"/>
  <sheetViews>
    <sheetView workbookViewId="0">
      <selection activeCell="B12" sqref="B12:B31"/>
    </sheetView>
  </sheetViews>
  <sheetFormatPr defaultColWidth="9.140625" defaultRowHeight="15" x14ac:dyDescent="0.25"/>
  <cols>
    <col min="1" max="1" width="40.85546875" style="5" customWidth="1"/>
    <col min="2" max="2" width="40.7109375" style="5" customWidth="1"/>
    <col min="3" max="16384" width="9.140625" style="5"/>
  </cols>
  <sheetData>
    <row r="1" spans="1:52" ht="20.25" thickBot="1" x14ac:dyDescent="0.35">
      <c r="A1" s="95" t="s">
        <v>573</v>
      </c>
    </row>
    <row r="2" spans="1:52" ht="15.75" thickTop="1" x14ac:dyDescent="0.25">
      <c r="A2" s="151" t="s">
        <v>574</v>
      </c>
      <c r="B2" s="151"/>
      <c r="C2" s="151"/>
      <c r="D2" s="151"/>
      <c r="E2" s="151"/>
      <c r="F2" s="151"/>
      <c r="G2" s="151"/>
    </row>
    <row r="3" spans="1:52" x14ac:dyDescent="0.25">
      <c r="A3" s="151" t="s">
        <v>575</v>
      </c>
      <c r="B3" s="151"/>
      <c r="C3" s="151"/>
    </row>
    <row r="4" spans="1:52" x14ac:dyDescent="0.25">
      <c r="A4" s="151" t="s">
        <v>576</v>
      </c>
      <c r="B4" s="151"/>
      <c r="C4" s="151"/>
      <c r="D4" s="151"/>
      <c r="E4" s="151"/>
      <c r="F4" s="151"/>
    </row>
    <row r="5" spans="1:52" x14ac:dyDescent="0.25">
      <c r="A5" s="5" t="s">
        <v>30</v>
      </c>
    </row>
    <row r="6" spans="1:52" x14ac:dyDescent="0.25">
      <c r="A6" s="151" t="s">
        <v>549</v>
      </c>
      <c r="B6" s="151"/>
    </row>
    <row r="7" spans="1:52" x14ac:dyDescent="0.25">
      <c r="A7" s="5" t="s">
        <v>30</v>
      </c>
    </row>
    <row r="8" spans="1:52" x14ac:dyDescent="0.25">
      <c r="A8" s="152" t="s">
        <v>399</v>
      </c>
      <c r="B8" s="151"/>
      <c r="C8" s="151"/>
      <c r="D8" s="151"/>
      <c r="E8" s="151"/>
      <c r="F8" s="151"/>
      <c r="G8" s="151"/>
      <c r="H8" s="151"/>
      <c r="I8" s="151"/>
      <c r="J8" s="151"/>
      <c r="K8" s="151"/>
    </row>
    <row r="9" spans="1:52" x14ac:dyDescent="0.25">
      <c r="A9" s="38" t="s">
        <v>30</v>
      </c>
    </row>
    <row r="10" spans="1:52" ht="15.75" thickBot="1" x14ac:dyDescent="0.3">
      <c r="A10" s="96" t="s">
        <v>550</v>
      </c>
    </row>
    <row r="11" spans="1:52" x14ac:dyDescent="0.25">
      <c r="A11" s="108" t="s">
        <v>239</v>
      </c>
      <c r="B11" s="24" t="s">
        <v>573</v>
      </c>
      <c r="C11" s="5" t="s">
        <v>571</v>
      </c>
      <c r="E11" s="10" t="s">
        <v>238</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1:52" x14ac:dyDescent="0.25">
      <c r="A12" s="6">
        <f>'Project Information'!$B$9</f>
        <v>2028</v>
      </c>
      <c r="B12" s="313"/>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
        <f>IF(A12&lt;'Project Information'!B$11,A12+1,"")</f>
        <v>2029</v>
      </c>
      <c r="B13" s="313"/>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
        <f>IF(A13&lt;'Project Information'!B$11,A13+1,"")</f>
        <v>2030</v>
      </c>
      <c r="B14" s="313"/>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
        <f>IF(A14&lt;'Project Information'!B$11,A14+1,"")</f>
        <v>2031</v>
      </c>
      <c r="B15" s="313"/>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
        <f>IF(A15&lt;'Project Information'!B$11,A15+1,"")</f>
        <v>2032</v>
      </c>
      <c r="B16" s="313"/>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
        <f>IF(A16&lt;'Project Information'!B$11,A16+1,"")</f>
        <v>2033</v>
      </c>
      <c r="B17" s="313"/>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
        <f>IF(A17&lt;'Project Information'!B$11,A17+1,"")</f>
        <v>2034</v>
      </c>
      <c r="B18" s="313"/>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
        <f>IF(A18&lt;'Project Information'!B$11,A18+1,"")</f>
        <v>2035</v>
      </c>
      <c r="B19" s="313"/>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
        <f>IF(A19&lt;'Project Information'!B$11,A19+1,"")</f>
        <v>2036</v>
      </c>
      <c r="B20" s="313"/>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
        <f>IF(A20&lt;'Project Information'!B$11,A20+1,"")</f>
        <v>2037</v>
      </c>
      <c r="B21" s="313"/>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
        <f>IF(A21&lt;'Project Information'!B$11,A21+1,"")</f>
        <v>2038</v>
      </c>
      <c r="B22" s="313"/>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
        <f>IF(A22&lt;'Project Information'!B$11,A22+1,"")</f>
        <v>2039</v>
      </c>
      <c r="B23" s="313"/>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
        <f>IF(A23&lt;'Project Information'!B$11,A23+1,"")</f>
        <v>2040</v>
      </c>
      <c r="B24" s="313"/>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
        <f>IF(A24&lt;'Project Information'!B$11,A24+1,"")</f>
        <v>2041</v>
      </c>
      <c r="B25" s="313"/>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
        <f>IF(A25&lt;'Project Information'!B$11,A25+1,"")</f>
        <v>2042</v>
      </c>
      <c r="B26" s="313"/>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
        <f>IF(A26&lt;'Project Information'!B$11,A26+1,"")</f>
        <v>2043</v>
      </c>
      <c r="B27" s="313"/>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
        <f>IF(A27&lt;'Project Information'!B$11,A27+1,"")</f>
        <v>2044</v>
      </c>
      <c r="B28" s="313"/>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
        <f>IF(A28&lt;'Project Information'!B$11,A28+1,"")</f>
        <v>2045</v>
      </c>
      <c r="B29" s="313"/>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
        <f>IF(A29&lt;'Project Information'!B$11,A29+1,"")</f>
        <v>2046</v>
      </c>
      <c r="B30" s="313"/>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
        <f>IF(A30&lt;'Project Information'!B$11,A30+1,"")</f>
        <v>2047</v>
      </c>
      <c r="B31" s="313"/>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 t="str">
        <f>IF(A31&lt;'Project Information'!B$11,A31+1,"")</f>
        <v/>
      </c>
      <c r="B32" s="163">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 t="str">
        <f>IF(A32&lt;'Project Information'!B$11,A32+1,"")</f>
        <v/>
      </c>
      <c r="B33" s="163">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 t="str">
        <f>IF(A33&lt;'Project Information'!B$11,A33+1,"")</f>
        <v/>
      </c>
      <c r="B34" s="163">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 t="str">
        <f>IF(A34&lt;'Project Information'!B$11,A34+1,"")</f>
        <v/>
      </c>
      <c r="B35" s="163">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 t="str">
        <f>IF(A35&lt;'Project Information'!B$11,A35+1,"")</f>
        <v/>
      </c>
      <c r="B36" s="163">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 t="str">
        <f>IF(A36&lt;'Project Information'!B$11,A36+1,"")</f>
        <v/>
      </c>
      <c r="B37" s="163">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 t="str">
        <f>IF(A37&lt;'Project Information'!B$11,A37+1,"")</f>
        <v/>
      </c>
      <c r="B38" s="163">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 t="str">
        <f>IF(A38&lt;'Project Information'!B$11,A38+1,"")</f>
        <v/>
      </c>
      <c r="B39" s="163">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 t="str">
        <f>IF(A39&lt;'Project Information'!B$11,A39+1,"")</f>
        <v/>
      </c>
      <c r="B40" s="163">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2" t="str">
        <f>IF(A40&lt;'Project Information'!B$11,A40+1,"")</f>
        <v/>
      </c>
      <c r="B41" s="119">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ht="15.75" thickBot="1" x14ac:dyDescent="0.3">
      <c r="E91" s="15"/>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7"/>
    </row>
  </sheetData>
  <conditionalFormatting sqref="B12:B41">
    <cfRule type="expression" dxfId="1" priority="1">
      <formula>A12=""</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23E3-CA4A-450A-91B0-3ECFC3741DDC}">
  <sheetPr>
    <tabColor theme="8" tint="0.39997558519241921"/>
  </sheetPr>
  <dimension ref="A1:Q65"/>
  <sheetViews>
    <sheetView topLeftCell="D1" workbookViewId="0">
      <selection activeCell="G44" sqref="G44"/>
    </sheetView>
  </sheetViews>
  <sheetFormatPr defaultColWidth="9.140625" defaultRowHeight="15" x14ac:dyDescent="0.25"/>
  <cols>
    <col min="1" max="1" width="32.5703125" style="5" customWidth="1"/>
    <col min="2" max="2" width="30.28515625" style="5" customWidth="1"/>
    <col min="3" max="3" width="23.85546875" style="5" customWidth="1"/>
    <col min="4" max="4" width="25.42578125" style="5" customWidth="1"/>
    <col min="5" max="5" width="31" style="5" customWidth="1"/>
    <col min="6" max="6" width="27.85546875" style="5" customWidth="1"/>
    <col min="7" max="7" width="27.42578125" style="5" customWidth="1"/>
    <col min="8" max="8" width="28.7109375" style="5" customWidth="1"/>
    <col min="9" max="9" width="30.85546875" style="5" customWidth="1"/>
    <col min="10" max="10" width="30.28515625" style="5" customWidth="1"/>
    <col min="11" max="11" width="26.42578125" style="5" customWidth="1"/>
    <col min="12" max="12" width="31.85546875" style="5" customWidth="1"/>
    <col min="13" max="13" width="19.42578125" style="5" customWidth="1"/>
    <col min="14" max="14" width="21" style="5" customWidth="1"/>
    <col min="15" max="15" width="19" style="5" customWidth="1"/>
    <col min="16" max="16" width="19.42578125" style="5" customWidth="1"/>
    <col min="17" max="17" width="25.7109375" style="5" customWidth="1"/>
    <col min="18" max="18" width="18.140625" style="5" customWidth="1"/>
    <col min="19" max="19" width="11" style="5" customWidth="1"/>
    <col min="20" max="20" width="19.85546875" style="5" customWidth="1"/>
    <col min="21" max="21" width="25.140625" style="5" customWidth="1"/>
    <col min="22" max="16384" width="9.140625" style="5"/>
  </cols>
  <sheetData>
    <row r="1" spans="1:17" ht="20.25" thickBot="1" x14ac:dyDescent="0.35">
      <c r="A1" s="95" t="s">
        <v>577</v>
      </c>
    </row>
    <row r="2" spans="1:17" ht="15.75" thickTop="1" x14ac:dyDescent="0.25">
      <c r="A2" s="151" t="s">
        <v>578</v>
      </c>
      <c r="B2" s="151"/>
      <c r="C2" s="151"/>
      <c r="D2" s="151"/>
      <c r="E2" s="151"/>
      <c r="F2" s="151"/>
      <c r="G2" s="151"/>
      <c r="H2" s="151"/>
      <c r="I2" s="151"/>
      <c r="J2" s="151"/>
    </row>
    <row r="3" spans="1:17" x14ac:dyDescent="0.25">
      <c r="A3" s="5" t="s">
        <v>30</v>
      </c>
    </row>
    <row r="4" spans="1:17" x14ac:dyDescent="0.25">
      <c r="A4" s="96" t="s">
        <v>579</v>
      </c>
    </row>
    <row r="5" spans="1:17" x14ac:dyDescent="0.25">
      <c r="A5" s="109" t="s">
        <v>239</v>
      </c>
      <c r="B5" s="112" t="s">
        <v>2</v>
      </c>
      <c r="C5" s="112" t="s">
        <v>413</v>
      </c>
      <c r="D5" s="112" t="s">
        <v>3</v>
      </c>
      <c r="E5" s="112" t="s">
        <v>4</v>
      </c>
      <c r="F5" s="112" t="s">
        <v>580</v>
      </c>
      <c r="G5" s="112" t="s">
        <v>581</v>
      </c>
      <c r="H5" s="112" t="s">
        <v>582</v>
      </c>
      <c r="I5" s="112" t="s">
        <v>525</v>
      </c>
      <c r="J5" s="112" t="s">
        <v>529</v>
      </c>
      <c r="K5" s="112" t="s">
        <v>7</v>
      </c>
      <c r="L5" s="302" t="str">
        <f>'Cargo Spillage'!A1</f>
        <v>Cargo Spillage</v>
      </c>
      <c r="M5" s="112" t="str">
        <f>'Other Benefit 2'!B7</f>
        <v>Other Benefit 2</v>
      </c>
      <c r="N5" s="112" t="str">
        <f>'Other Benefit 3'!B7</f>
        <v>Other Benefit 3</v>
      </c>
      <c r="O5" s="112" t="str">
        <f>'Other Benefit 4'!B11</f>
        <v>Other Benefit 4</v>
      </c>
      <c r="P5" s="112" t="s">
        <v>583</v>
      </c>
      <c r="Q5" s="107" t="s">
        <v>584</v>
      </c>
    </row>
    <row r="6" spans="1:17" x14ac:dyDescent="0.25">
      <c r="A6" s="6">
        <f>'Project Information'!$B$9</f>
        <v>2028</v>
      </c>
      <c r="B6" s="7">
        <f>'Operations and Maintenance'!D8</f>
        <v>2800</v>
      </c>
      <c r="C6" s="7">
        <f>Safety!D22</f>
        <v>1577836.265224915</v>
      </c>
      <c r="D6" s="7">
        <f>'Travel Time Savings'!D20</f>
        <v>0</v>
      </c>
      <c r="E6" s="7">
        <f>'Vehicle Operating Cost Savings'!D26</f>
        <v>0</v>
      </c>
      <c r="F6" s="21">
        <f>'Emissions Reduction'!S33</f>
        <v>3219971.5400766116</v>
      </c>
      <c r="G6" s="21">
        <f>'Emissions Reduction'!T33</f>
        <v>-733625.22895067651</v>
      </c>
      <c r="H6" s="21">
        <f>'Other Highway Use Externalities'!B20</f>
        <v>752806.69760091882</v>
      </c>
      <c r="I6" s="7">
        <f>'Amenity Benefits'!B11</f>
        <v>0</v>
      </c>
      <c r="J6" s="7">
        <f>'Health Benefits'!B15</f>
        <v>0</v>
      </c>
      <c r="K6" s="7">
        <f>'Residual Value'!B23</f>
        <v>0</v>
      </c>
      <c r="L6" s="7">
        <f>'Cargo Spillage'!B8</f>
        <v>357.77853121194221</v>
      </c>
      <c r="M6" s="7">
        <f>'Other Benefit 2'!B8</f>
        <v>0</v>
      </c>
      <c r="N6" s="7">
        <f>'Other Benefit 3'!B8</f>
        <v>0</v>
      </c>
      <c r="O6" s="7">
        <f>'Other Benefit 4'!B12</f>
        <v>0</v>
      </c>
      <c r="P6" s="156">
        <f>SUM(C6:O6)-B6</f>
        <v>4814547.0524829812</v>
      </c>
      <c r="Q6" s="18">
        <f>IFERROR(((P6-G6)/(1.031)^(A6-Overview!$B$22))+((G6)/(1.02)^(A6-Overview!$B$22)),0)</f>
        <v>3968093.4375406769</v>
      </c>
    </row>
    <row r="7" spans="1:17" x14ac:dyDescent="0.25">
      <c r="A7" s="1">
        <f>IF(A6&lt;'Project Information'!B$11,A6+1,"")</f>
        <v>2029</v>
      </c>
      <c r="B7" s="7">
        <f>'Operations and Maintenance'!D9</f>
        <v>2800</v>
      </c>
      <c r="C7" s="7">
        <f>Safety!D23</f>
        <v>1593614.6278771644</v>
      </c>
      <c r="D7" s="7">
        <f>'Travel Time Savings'!D21</f>
        <v>0</v>
      </c>
      <c r="E7" s="7">
        <f>'Vehicle Operating Cost Savings'!D27</f>
        <v>0</v>
      </c>
      <c r="F7" s="21">
        <f>'Emissions Reduction'!S34</f>
        <v>3215769.0113126012</v>
      </c>
      <c r="G7" s="21">
        <f>'Emissions Reduction'!T34</f>
        <v>-771164.93015731103</v>
      </c>
      <c r="H7" s="21">
        <f>'Other Highway Use Externalities'!B21</f>
        <v>760334.76457692799</v>
      </c>
      <c r="I7" s="7">
        <f>'Amenity Benefits'!B12</f>
        <v>0</v>
      </c>
      <c r="J7" s="7">
        <f>'Health Benefits'!B16</f>
        <v>0</v>
      </c>
      <c r="K7" s="7">
        <f>'Residual Value'!B24</f>
        <v>0</v>
      </c>
      <c r="L7" s="7">
        <f>'Cargo Spillage'!B9</f>
        <v>361.3563165240617</v>
      </c>
      <c r="M7" s="7">
        <f>'Other Benefit 2'!B9</f>
        <v>0</v>
      </c>
      <c r="N7" s="7">
        <f>'Other Benefit 3'!B9</f>
        <v>0</v>
      </c>
      <c r="O7" s="7">
        <f>'Other Benefit 4'!B13</f>
        <v>0</v>
      </c>
      <c r="P7" s="156">
        <f t="shared" ref="P7:P35" si="0">SUM(C7:O7)-B7</f>
        <v>4796114.8299259059</v>
      </c>
      <c r="Q7" s="18">
        <f>IFERROR(((P7-G7)/(1.031)^(A7-Overview!$B$22))+((G7)/(1.02)^(A7-Overview!$B$22)),0)</f>
        <v>3824717.5253347596</v>
      </c>
    </row>
    <row r="8" spans="1:17" x14ac:dyDescent="0.25">
      <c r="A8" s="1">
        <f>IF(A7&lt;'Project Information'!B$11,A7+1,"")</f>
        <v>2030</v>
      </c>
      <c r="B8" s="7">
        <f>'Operations and Maintenance'!D10</f>
        <v>2800</v>
      </c>
      <c r="C8" s="7">
        <f>Safety!D24</f>
        <v>1609550.7741559357</v>
      </c>
      <c r="D8" s="7">
        <f>'Travel Time Savings'!D22</f>
        <v>0</v>
      </c>
      <c r="E8" s="7">
        <f>'Vehicle Operating Cost Savings'!D28</f>
        <v>0</v>
      </c>
      <c r="F8" s="21">
        <f>'Emissions Reduction'!S35</f>
        <v>3220352.0014709085</v>
      </c>
      <c r="G8" s="21">
        <f>'Emissions Reduction'!T35</f>
        <v>-819550.55733395112</v>
      </c>
      <c r="H8" s="21">
        <f>'Other Highway Use Externalities'!B22</f>
        <v>767938.11222269712</v>
      </c>
      <c r="I8" s="7">
        <f>'Amenity Benefits'!B13</f>
        <v>0</v>
      </c>
      <c r="J8" s="7">
        <f>'Health Benefits'!B17</f>
        <v>0</v>
      </c>
      <c r="K8" s="7">
        <f>'Residual Value'!B25</f>
        <v>0</v>
      </c>
      <c r="L8" s="7">
        <f>'Cargo Spillage'!B10</f>
        <v>364.96987968930227</v>
      </c>
      <c r="M8" s="7">
        <f>'Other Benefit 2'!B10</f>
        <v>0</v>
      </c>
      <c r="N8" s="7">
        <f>'Other Benefit 3'!B10</f>
        <v>0</v>
      </c>
      <c r="O8" s="7">
        <f>'Other Benefit 4'!B14</f>
        <v>0</v>
      </c>
      <c r="P8" s="156">
        <f t="shared" si="0"/>
        <v>4775855.3003952792</v>
      </c>
      <c r="Q8" s="18">
        <f>IFERROR(((P8-G8)/(1.031)^(A8-Overview!$B$22))+((G8)/(1.02)^(A8-Overview!$B$22)),0)</f>
        <v>3683428.6455402402</v>
      </c>
    </row>
    <row r="9" spans="1:17" x14ac:dyDescent="0.25">
      <c r="A9" s="1">
        <f>IF(A8&lt;'Project Information'!B$11,A8+1,"")</f>
        <v>2031</v>
      </c>
      <c r="B9" s="7">
        <f>'Operations and Maintenance'!D11</f>
        <v>2800</v>
      </c>
      <c r="C9" s="7">
        <f>Safety!D25</f>
        <v>1625646.281897495</v>
      </c>
      <c r="D9" s="7">
        <f>'Travel Time Savings'!D23</f>
        <v>0</v>
      </c>
      <c r="E9" s="7">
        <f>'Vehicle Operating Cost Savings'!D29</f>
        <v>0</v>
      </c>
      <c r="F9" s="21">
        <f>'Emissions Reduction'!S36</f>
        <v>3252555.5214856183</v>
      </c>
      <c r="G9" s="21">
        <f>'Emissions Reduction'!T36</f>
        <v>-868826.78056110744</v>
      </c>
      <c r="H9" s="21">
        <f>'Other Highway Use Externalities'!B23</f>
        <v>775617.49334492418</v>
      </c>
      <c r="I9" s="7">
        <f>'Amenity Benefits'!B14</f>
        <v>0</v>
      </c>
      <c r="J9" s="7">
        <f>'Health Benefits'!B18</f>
        <v>0</v>
      </c>
      <c r="K9" s="7">
        <f>'Residual Value'!B26</f>
        <v>0</v>
      </c>
      <c r="L9" s="7">
        <f>'Cargo Spillage'!B11</f>
        <v>368.61957848619511</v>
      </c>
      <c r="M9" s="7">
        <f>'Other Benefit 2'!B11</f>
        <v>0</v>
      </c>
      <c r="N9" s="7">
        <f>'Other Benefit 3'!B11</f>
        <v>0</v>
      </c>
      <c r="O9" s="7">
        <f>'Other Benefit 4'!B15</f>
        <v>0</v>
      </c>
      <c r="P9" s="156">
        <f t="shared" si="0"/>
        <v>4782561.1357454173</v>
      </c>
      <c r="Q9" s="18">
        <f>IFERROR(((P9-G9)/(1.031)^(A9-Overview!$B$22))+((G9)/(1.02)^(A9-Overview!$B$22)),0)</f>
        <v>3566659.4746304052</v>
      </c>
    </row>
    <row r="10" spans="1:17" x14ac:dyDescent="0.25">
      <c r="A10" s="1">
        <f>IF(A9&lt;'Project Information'!B$11,A9+1,"")</f>
        <v>2032</v>
      </c>
      <c r="B10" s="7">
        <f>'Operations and Maintenance'!D12</f>
        <v>2800</v>
      </c>
      <c r="C10" s="7">
        <f>Safety!D26</f>
        <v>1641902.7447164704</v>
      </c>
      <c r="D10" s="7">
        <f>'Travel Time Savings'!D24</f>
        <v>0</v>
      </c>
      <c r="E10" s="7">
        <f>'Vehicle Operating Cost Savings'!D30</f>
        <v>0</v>
      </c>
      <c r="F10" s="21">
        <f>'Emissions Reduction'!S37</f>
        <v>3285081.0767004751</v>
      </c>
      <c r="G10" s="21">
        <f>'Emissions Reduction'!T37</f>
        <v>-908633.69198948494</v>
      </c>
      <c r="H10" s="21">
        <f>'Other Highway Use Externalities'!B24</f>
        <v>783373.66827837331</v>
      </c>
      <c r="I10" s="7">
        <f>'Amenity Benefits'!B15</f>
        <v>0</v>
      </c>
      <c r="J10" s="7">
        <f>'Health Benefits'!B19</f>
        <v>0</v>
      </c>
      <c r="K10" s="7">
        <f>'Residual Value'!B27</f>
        <v>0</v>
      </c>
      <c r="L10" s="7">
        <f>'Cargo Spillage'!B12</f>
        <v>372.30577427105715</v>
      </c>
      <c r="M10" s="7">
        <f>'Other Benefit 2'!B12</f>
        <v>0</v>
      </c>
      <c r="N10" s="7">
        <f>'Other Benefit 3'!B12</f>
        <v>0</v>
      </c>
      <c r="O10" s="7">
        <f>'Other Benefit 4'!B16</f>
        <v>0</v>
      </c>
      <c r="P10" s="156">
        <f t="shared" si="0"/>
        <v>4799296.1034801044</v>
      </c>
      <c r="Q10" s="18">
        <f>IFERROR(((P10-G10)/(1.031)^(A10-Overview!$B$22))+((G10)/(1.02)^(A10-Overview!$B$22)),0)</f>
        <v>3460823.7598192459</v>
      </c>
    </row>
    <row r="11" spans="1:17" x14ac:dyDescent="0.25">
      <c r="A11" s="1">
        <f>IF(A10&lt;'Project Information'!B$11,A10+1,"")</f>
        <v>2033</v>
      </c>
      <c r="B11" s="7">
        <f>'Operations and Maintenance'!D13</f>
        <v>2800</v>
      </c>
      <c r="C11" s="7">
        <f>Safety!D27</f>
        <v>1658321.7721636351</v>
      </c>
      <c r="D11" s="7">
        <f>'Travel Time Savings'!D25</f>
        <v>0</v>
      </c>
      <c r="E11" s="7">
        <f>'Vehicle Operating Cost Savings'!D31</f>
        <v>0</v>
      </c>
      <c r="F11" s="21">
        <f>'Emissions Reduction'!S38</f>
        <v>3317931.8874674793</v>
      </c>
      <c r="G11" s="21">
        <f>'Emissions Reduction'!T38</f>
        <v>-959626.46898803907</v>
      </c>
      <c r="H11" s="21">
        <f>'Other Highway Use Externalities'!B25</f>
        <v>791207.40496115712</v>
      </c>
      <c r="I11" s="7">
        <f>'Amenity Benefits'!B16</f>
        <v>0</v>
      </c>
      <c r="J11" s="7">
        <f>'Health Benefits'!B20</f>
        <v>0</v>
      </c>
      <c r="K11" s="7">
        <f>'Residual Value'!B28</f>
        <v>0</v>
      </c>
      <c r="L11" s="7">
        <f>'Cargo Spillage'!B13</f>
        <v>376.02883201376761</v>
      </c>
      <c r="M11" s="7">
        <f>'Other Benefit 2'!B13</f>
        <v>0</v>
      </c>
      <c r="N11" s="7">
        <f>'Other Benefit 3'!B13</f>
        <v>0</v>
      </c>
      <c r="O11" s="7">
        <f>'Other Benefit 4'!B17</f>
        <v>0</v>
      </c>
      <c r="P11" s="156">
        <f t="shared" si="0"/>
        <v>4805410.6244362462</v>
      </c>
      <c r="Q11" s="18">
        <f>IFERROR(((P11-G11)/(1.031)^(A11-Overview!$B$22))+((G11)/(1.02)^(A11-Overview!$B$22)),0)</f>
        <v>3348773.0755275693</v>
      </c>
    </row>
    <row r="12" spans="1:17" x14ac:dyDescent="0.25">
      <c r="A12" s="1">
        <f>IF(A11&lt;'Project Information'!B$11,A11+1,"")</f>
        <v>2034</v>
      </c>
      <c r="B12" s="7">
        <f>'Operations and Maintenance'!D14</f>
        <v>2800</v>
      </c>
      <c r="C12" s="7">
        <f>Safety!D28</f>
        <v>1674904.9898852706</v>
      </c>
      <c r="D12" s="7">
        <f>'Travel Time Savings'!D26</f>
        <v>0</v>
      </c>
      <c r="E12" s="7">
        <f>'Vehicle Operating Cost Savings'!D32</f>
        <v>0</v>
      </c>
      <c r="F12" s="21">
        <f>'Emissions Reduction'!S39</f>
        <v>3351111.2063421546</v>
      </c>
      <c r="G12" s="21">
        <f>'Emissions Reduction'!T39</f>
        <v>-1011548.2381573641</v>
      </c>
      <c r="H12" s="21">
        <f>'Other Highway Use Externalities'!B26</f>
        <v>799119.47901076893</v>
      </c>
      <c r="I12" s="7">
        <f>'Amenity Benefits'!B17</f>
        <v>0</v>
      </c>
      <c r="J12" s="7">
        <f>'Health Benefits'!B21</f>
        <v>0</v>
      </c>
      <c r="K12" s="7">
        <f>'Residual Value'!B29</f>
        <v>0</v>
      </c>
      <c r="L12" s="7">
        <f>'Cargo Spillage'!B14</f>
        <v>379.78912033390537</v>
      </c>
      <c r="M12" s="7">
        <f>'Other Benefit 2'!B14</f>
        <v>0</v>
      </c>
      <c r="N12" s="7">
        <f>'Other Benefit 3'!B14</f>
        <v>0</v>
      </c>
      <c r="O12" s="7">
        <f>'Other Benefit 4'!B18</f>
        <v>0</v>
      </c>
      <c r="P12" s="156">
        <f t="shared" si="0"/>
        <v>4811167.2262011645</v>
      </c>
      <c r="Q12" s="18">
        <f>IFERROR(((P12-G12)/(1.031)^(A12-Overview!$B$22))+((G12)/(1.02)^(A12-Overview!$B$22)),0)</f>
        <v>3239055.6670560315</v>
      </c>
    </row>
    <row r="13" spans="1:17" x14ac:dyDescent="0.25">
      <c r="A13" s="1">
        <f>IF(A12&lt;'Project Information'!B$11,A12+1,"")</f>
        <v>2035</v>
      </c>
      <c r="B13" s="7">
        <f>'Operations and Maintenance'!D15</f>
        <v>2800</v>
      </c>
      <c r="C13" s="7">
        <f>Safety!D29</f>
        <v>1691654.0397841239</v>
      </c>
      <c r="D13" s="7">
        <f>'Travel Time Savings'!D27</f>
        <v>0</v>
      </c>
      <c r="E13" s="7">
        <f>'Vehicle Operating Cost Savings'!D33</f>
        <v>0</v>
      </c>
      <c r="F13" s="21">
        <f>'Emissions Reduction'!S40</f>
        <v>3384622.3184055765</v>
      </c>
      <c r="G13" s="21">
        <f>'Emissions Reduction'!T40</f>
        <v>-1053725.2901821174</v>
      </c>
      <c r="H13" s="21">
        <f>'Other Highway Use Externalities'!B27</f>
        <v>807110.67380087636</v>
      </c>
      <c r="I13" s="7">
        <f>'Amenity Benefits'!B18</f>
        <v>0</v>
      </c>
      <c r="J13" s="7">
        <f>'Health Benefits'!B22</f>
        <v>0</v>
      </c>
      <c r="K13" s="7">
        <f>'Residual Value'!B30</f>
        <v>0</v>
      </c>
      <c r="L13" s="7">
        <f>'Cargo Spillage'!B15</f>
        <v>383.58701153724434</v>
      </c>
      <c r="M13" s="7">
        <f>'Other Benefit 2'!B15</f>
        <v>0</v>
      </c>
      <c r="N13" s="7">
        <f>'Other Benefit 3'!B15</f>
        <v>0</v>
      </c>
      <c r="O13" s="7">
        <f>'Other Benefit 4'!B19</f>
        <v>0</v>
      </c>
      <c r="P13" s="156">
        <f>SUM(C13:O13)-B13</f>
        <v>4827245.3288199967</v>
      </c>
      <c r="Q13" s="18">
        <f>IFERROR(((P13-G13)/(1.031)^(A13-Overview!$B$22))+((G13)/(1.02)^(A13-Overview!$B$22)),0)</f>
        <v>3139888.5577099463</v>
      </c>
    </row>
    <row r="14" spans="1:17" x14ac:dyDescent="0.25">
      <c r="A14" s="1">
        <f>IF(A13&lt;'Project Information'!B$11,A13+1,"")</f>
        <v>2036</v>
      </c>
      <c r="B14" s="7">
        <f>'Operations and Maintenance'!D16</f>
        <v>2800</v>
      </c>
      <c r="C14" s="7">
        <f>Safety!D30</f>
        <v>1708570.5801819651</v>
      </c>
      <c r="D14" s="7">
        <f>'Travel Time Savings'!D28</f>
        <v>0</v>
      </c>
      <c r="E14" s="7">
        <f>'Vehicle Operating Cost Savings'!D34</f>
        <v>0</v>
      </c>
      <c r="F14" s="21">
        <f>'Emissions Reduction'!S41</f>
        <v>3418468.5415896322</v>
      </c>
      <c r="G14" s="21">
        <f>'Emissions Reduction'!T41</f>
        <v>-1107438.7902034211</v>
      </c>
      <c r="H14" s="21">
        <f>'Other Highway Use Externalities'!B28</f>
        <v>815181.78053888516</v>
      </c>
      <c r="I14" s="7">
        <f>'Amenity Benefits'!B19</f>
        <v>0</v>
      </c>
      <c r="J14" s="7">
        <f>'Health Benefits'!B23</f>
        <v>0</v>
      </c>
      <c r="K14" s="7">
        <f>'Residual Value'!B31</f>
        <v>0</v>
      </c>
      <c r="L14" s="7">
        <f>'Cargo Spillage'!B16</f>
        <v>387.42288165261704</v>
      </c>
      <c r="M14" s="7">
        <f>'Other Benefit 2'!B16</f>
        <v>0</v>
      </c>
      <c r="N14" s="7">
        <f>'Other Benefit 3'!B16</f>
        <v>0</v>
      </c>
      <c r="O14" s="7">
        <f>'Other Benefit 4'!B20</f>
        <v>0</v>
      </c>
      <c r="P14" s="156">
        <f t="shared" si="0"/>
        <v>4832369.5349887135</v>
      </c>
      <c r="Q14" s="18">
        <f>IFERROR(((P14-G14)/(1.031)^(A14-Overview!$B$22))+((G14)/(1.02)^(A14-Overview!$B$22)),0)</f>
        <v>3034623.9819273292</v>
      </c>
    </row>
    <row r="15" spans="1:17" x14ac:dyDescent="0.25">
      <c r="A15" s="1">
        <f>IF(A14&lt;'Project Information'!B$11,A14+1,"")</f>
        <v>2037</v>
      </c>
      <c r="B15" s="7">
        <f>'Operations and Maintenance'!D17</f>
        <v>2800</v>
      </c>
      <c r="C15" s="7">
        <f>Safety!D31</f>
        <v>1725656.2859837848</v>
      </c>
      <c r="D15" s="7">
        <f>'Travel Time Savings'!D29</f>
        <v>0</v>
      </c>
      <c r="E15" s="7">
        <f>'Vehicle Operating Cost Savings'!D35</f>
        <v>0</v>
      </c>
      <c r="F15" s="21">
        <f>'Emissions Reduction'!S42</f>
        <v>3452653.2270055283</v>
      </c>
      <c r="G15" s="21">
        <f>'Emissions Reduction'!T42</f>
        <v>-1162121.1876961328</v>
      </c>
      <c r="H15" s="21">
        <f>'Other Highway Use Externalities'!B29</f>
        <v>823333.59834427398</v>
      </c>
      <c r="I15" s="7">
        <f>'Amenity Benefits'!B20</f>
        <v>0</v>
      </c>
      <c r="J15" s="7">
        <f>'Health Benefits'!B24</f>
        <v>0</v>
      </c>
      <c r="K15" s="7">
        <f>'Residual Value'!B32</f>
        <v>0</v>
      </c>
      <c r="L15" s="7">
        <f>'Cargo Spillage'!B17</f>
        <v>391.29711046914321</v>
      </c>
      <c r="M15" s="7">
        <f>'Other Benefit 2'!B17</f>
        <v>0</v>
      </c>
      <c r="N15" s="7">
        <f>'Other Benefit 3'!B17</f>
        <v>0</v>
      </c>
      <c r="O15" s="7">
        <f>'Other Benefit 4'!B21</f>
        <v>0</v>
      </c>
      <c r="P15" s="156">
        <f t="shared" si="0"/>
        <v>4837113.2207479235</v>
      </c>
      <c r="Q15" s="18">
        <f>IFERROR(((P15-G15)/(1.031)^(A15-Overview!$B$22))+((G15)/(1.02)^(A15-Overview!$B$22)),0)</f>
        <v>2931562.4220676767</v>
      </c>
    </row>
    <row r="16" spans="1:17" x14ac:dyDescent="0.25">
      <c r="A16" s="1">
        <f>IF(A15&lt;'Project Information'!B$11,A15+1,"")</f>
        <v>2038</v>
      </c>
      <c r="B16" s="7">
        <f>'Operations and Maintenance'!D18</f>
        <v>2800</v>
      </c>
      <c r="C16" s="7">
        <f>Safety!D32</f>
        <v>1742912.8488436225</v>
      </c>
      <c r="D16" s="7">
        <f>'Travel Time Savings'!D30</f>
        <v>0</v>
      </c>
      <c r="E16" s="7">
        <f>'Vehicle Operating Cost Savings'!D36</f>
        <v>0</v>
      </c>
      <c r="F16" s="21">
        <f>'Emissions Reduction'!S43</f>
        <v>3487179.7592755822</v>
      </c>
      <c r="G16" s="21">
        <f>'Emissions Reduction'!T43</f>
        <v>-1206775.4668380315</v>
      </c>
      <c r="H16" s="21">
        <f>'Other Highway Use Externalities'!B30</f>
        <v>831566.93432771682</v>
      </c>
      <c r="I16" s="7">
        <f>'Amenity Benefits'!B21</f>
        <v>0</v>
      </c>
      <c r="J16" s="7">
        <f>'Health Benefits'!B25</f>
        <v>0</v>
      </c>
      <c r="K16" s="7">
        <f>'Residual Value'!B33</f>
        <v>0</v>
      </c>
      <c r="L16" s="7">
        <f>'Cargo Spillage'!B18</f>
        <v>395.21008157383477</v>
      </c>
      <c r="M16" s="7">
        <f>'Other Benefit 2'!B18</f>
        <v>0</v>
      </c>
      <c r="N16" s="7">
        <f>'Other Benefit 3'!B18</f>
        <v>0</v>
      </c>
      <c r="O16" s="7">
        <f>'Other Benefit 4'!B22</f>
        <v>0</v>
      </c>
      <c r="P16" s="156">
        <f t="shared" si="0"/>
        <v>4852479.2856904631</v>
      </c>
      <c r="Q16" s="18">
        <f>IFERROR(((P16-G16)/(1.031)^(A16-Overview!$B$22))+((G16)/(1.02)^(A16-Overview!$B$22)),0)</f>
        <v>2838682.7616429785</v>
      </c>
    </row>
    <row r="17" spans="1:17" x14ac:dyDescent="0.25">
      <c r="A17" s="1">
        <f>IF(A16&lt;'Project Information'!B$11,A16+1,"")</f>
        <v>2039</v>
      </c>
      <c r="B17" s="7">
        <f>'Operations and Maintenance'!D19</f>
        <v>2800</v>
      </c>
      <c r="C17" s="7">
        <f>Safety!D33</f>
        <v>1760341.9773320588</v>
      </c>
      <c r="D17" s="7">
        <f>'Travel Time Savings'!D31</f>
        <v>0</v>
      </c>
      <c r="E17" s="7">
        <f>'Vehicle Operating Cost Savings'!D37</f>
        <v>0</v>
      </c>
      <c r="F17" s="21">
        <f>'Emissions Reduction'!S44</f>
        <v>3522051.556868339</v>
      </c>
      <c r="G17" s="21">
        <f>'Emissions Reduction'!T44</f>
        <v>-1263327.7520898608</v>
      </c>
      <c r="H17" s="21">
        <f>'Other Highway Use Externalities'!B31</f>
        <v>839882.60367099394</v>
      </c>
      <c r="I17" s="7">
        <f>'Amenity Benefits'!B22</f>
        <v>0</v>
      </c>
      <c r="J17" s="7">
        <f>'Health Benefits'!B26</f>
        <v>0</v>
      </c>
      <c r="K17" s="7">
        <f>'Residual Value'!B34</f>
        <v>0</v>
      </c>
      <c r="L17" s="7">
        <f>'Cargo Spillage'!B19</f>
        <v>399.16218238957299</v>
      </c>
      <c r="M17" s="7">
        <f>'Other Benefit 2'!B19</f>
        <v>0</v>
      </c>
      <c r="N17" s="7">
        <f>'Other Benefit 3'!B19</f>
        <v>0</v>
      </c>
      <c r="O17" s="7">
        <f>'Other Benefit 4'!B23</f>
        <v>0</v>
      </c>
      <c r="P17" s="156">
        <f t="shared" si="0"/>
        <v>4856547.547963921</v>
      </c>
      <c r="Q17" s="18">
        <f>IFERROR(((P17-G17)/(1.031)^(A17-Overview!$B$22))+((G17)/(1.02)^(A17-Overview!$B$22)),0)</f>
        <v>2739823.2432592548</v>
      </c>
    </row>
    <row r="18" spans="1:17" x14ac:dyDescent="0.25">
      <c r="A18" s="1">
        <f>IF(A17&lt;'Project Information'!B$11,A17+1,"")</f>
        <v>2040</v>
      </c>
      <c r="B18" s="7">
        <f>'Operations and Maintenance'!D20</f>
        <v>2800</v>
      </c>
      <c r="C18" s="7">
        <f>Safety!D34</f>
        <v>1777945.3971053795</v>
      </c>
      <c r="D18" s="7">
        <f>'Travel Time Savings'!D32</f>
        <v>0</v>
      </c>
      <c r="E18" s="7">
        <f>'Vehicle Operating Cost Savings'!D38</f>
        <v>0</v>
      </c>
      <c r="F18" s="21">
        <f>'Emissions Reduction'!S45</f>
        <v>3557272.0724370228</v>
      </c>
      <c r="G18" s="21">
        <f>'Emissions Reduction'!T45</f>
        <v>-1320890.4055000436</v>
      </c>
      <c r="H18" s="21">
        <f>'Other Highway Use Externalities'!B32</f>
        <v>848281.42970770388</v>
      </c>
      <c r="I18" s="7">
        <f>'Amenity Benefits'!B23</f>
        <v>0</v>
      </c>
      <c r="J18" s="7">
        <f>'Health Benefits'!B27</f>
        <v>0</v>
      </c>
      <c r="K18" s="7">
        <f>'Residual Value'!B35</f>
        <v>0</v>
      </c>
      <c r="L18" s="7">
        <f>'Cargo Spillage'!B20</f>
        <v>403.15380421346845</v>
      </c>
      <c r="M18" s="7">
        <f>'Other Benefit 2'!B20</f>
        <v>0</v>
      </c>
      <c r="N18" s="7">
        <f>'Other Benefit 3'!B20</f>
        <v>0</v>
      </c>
      <c r="O18" s="7">
        <f>'Other Benefit 4'!B24</f>
        <v>0</v>
      </c>
      <c r="P18" s="156">
        <f t="shared" si="0"/>
        <v>4860211.6475542765</v>
      </c>
      <c r="Q18" s="18">
        <f>IFERROR(((P18-G18)/(1.031)^(A18-Overview!$B$22))+((G18)/(1.02)^(A18-Overview!$B$22)),0)</f>
        <v>2643043.7332277102</v>
      </c>
    </row>
    <row r="19" spans="1:17" x14ac:dyDescent="0.25">
      <c r="A19" s="1">
        <f>IF(A18&lt;'Project Information'!B$11,A18+1,"")</f>
        <v>2041</v>
      </c>
      <c r="B19" s="7">
        <f>'Operations and Maintenance'!D21</f>
        <v>2800</v>
      </c>
      <c r="C19" s="7">
        <f>Safety!D35</f>
        <v>1795724.851076433</v>
      </c>
      <c r="D19" s="7">
        <f>'Travel Time Savings'!D33</f>
        <v>0</v>
      </c>
      <c r="E19" s="7">
        <f>'Vehicle Operating Cost Savings'!D39</f>
        <v>0</v>
      </c>
      <c r="F19" s="21">
        <f>'Emissions Reduction'!S46</f>
        <v>3592844.7931613913</v>
      </c>
      <c r="G19" s="21">
        <f>'Emissions Reduction'!T46</f>
        <v>-1379477.9792032216</v>
      </c>
      <c r="H19" s="21">
        <f>'Other Highway Use Externalities'!B33</f>
        <v>856764.24400478089</v>
      </c>
      <c r="I19" s="7">
        <f>'Amenity Benefits'!B24</f>
        <v>0</v>
      </c>
      <c r="J19" s="7">
        <f>'Health Benefits'!B28</f>
        <v>0</v>
      </c>
      <c r="K19" s="7">
        <f>'Residual Value'!B36</f>
        <v>0</v>
      </c>
      <c r="L19" s="7">
        <f>'Cargo Spillage'!B21</f>
        <v>407.1853422556033</v>
      </c>
      <c r="M19" s="7">
        <f>'Other Benefit 2'!B21</f>
        <v>0</v>
      </c>
      <c r="N19" s="7">
        <f>'Other Benefit 3'!B21</f>
        <v>0</v>
      </c>
      <c r="O19" s="7">
        <f>'Other Benefit 4'!B25</f>
        <v>0</v>
      </c>
      <c r="P19" s="156">
        <f t="shared" si="0"/>
        <v>4863463.0943816397</v>
      </c>
      <c r="Q19" s="18">
        <f>IFERROR(((P19-G19)/(1.031)^(A19-Overview!$B$22))+((G19)/(1.02)^(A19-Overview!$B$22)),0)</f>
        <v>2548304.5145977428</v>
      </c>
    </row>
    <row r="20" spans="1:17" x14ac:dyDescent="0.25">
      <c r="A20" s="1">
        <f>IF(A19&lt;'Project Information'!B$11,A19+1,"")</f>
        <v>2042</v>
      </c>
      <c r="B20" s="7">
        <f>'Operations and Maintenance'!D22</f>
        <v>2800</v>
      </c>
      <c r="C20" s="7">
        <f>Safety!D36</f>
        <v>1813682.0995871976</v>
      </c>
      <c r="D20" s="7">
        <f>'Travel Time Savings'!D34</f>
        <v>0</v>
      </c>
      <c r="E20" s="7">
        <f>'Vehicle Operating Cost Savings'!D40</f>
        <v>0</v>
      </c>
      <c r="F20" s="21">
        <f>'Emissions Reduction'!S47</f>
        <v>3628773.2410930065</v>
      </c>
      <c r="G20" s="21">
        <f>'Emissions Reduction'!T47</f>
        <v>-1439105.2153399119</v>
      </c>
      <c r="H20" s="21">
        <f>'Other Highway Use Externalities'!B34</f>
        <v>865331.88644482871</v>
      </c>
      <c r="I20" s="7">
        <f>'Amenity Benefits'!B25</f>
        <v>0</v>
      </c>
      <c r="J20" s="7">
        <f>'Health Benefits'!B29</f>
        <v>0</v>
      </c>
      <c r="K20" s="7">
        <f>'Residual Value'!B37</f>
        <v>0</v>
      </c>
      <c r="L20" s="7">
        <f>'Cargo Spillage'!B22</f>
        <v>411.25719567815952</v>
      </c>
      <c r="M20" s="7">
        <f>'Other Benefit 2'!B22</f>
        <v>0</v>
      </c>
      <c r="N20" s="7">
        <f>'Other Benefit 3'!B22</f>
        <v>0</v>
      </c>
      <c r="O20" s="7">
        <f>'Other Benefit 4'!B26</f>
        <v>0</v>
      </c>
      <c r="P20" s="156">
        <f t="shared" si="0"/>
        <v>4866293.2689807992</v>
      </c>
      <c r="Q20" s="18">
        <f>IFERROR(((P20-G20)/(1.031)^(A20-Overview!$B$22))+((G20)/(1.02)^(A20-Overview!$B$22)),0)</f>
        <v>2455566.6208524262</v>
      </c>
    </row>
    <row r="21" spans="1:17" x14ac:dyDescent="0.25">
      <c r="A21" s="1">
        <f>IF(A20&lt;'Project Information'!B$11,A20+1,"")</f>
        <v>2043</v>
      </c>
      <c r="B21" s="7">
        <f>'Operations and Maintenance'!D23</f>
        <v>2800</v>
      </c>
      <c r="C21" s="7">
        <f>Safety!D37</f>
        <v>1831818.9205830691</v>
      </c>
      <c r="D21" s="7">
        <f>'Travel Time Savings'!D35</f>
        <v>0</v>
      </c>
      <c r="E21" s="7">
        <f>'Vehicle Operating Cost Savings'!D41</f>
        <v>0</v>
      </c>
      <c r="F21" s="21">
        <f>'Emissions Reduction'!S48</f>
        <v>3665060.973503937</v>
      </c>
      <c r="G21" s="21">
        <f>'Emissions Reduction'!T48</f>
        <v>-1499787.0484014172</v>
      </c>
      <c r="H21" s="21">
        <f>'Other Highway Use Externalities'!B35</f>
        <v>873985.20530927693</v>
      </c>
      <c r="I21" s="7">
        <f>'Amenity Benefits'!B26</f>
        <v>0</v>
      </c>
      <c r="J21" s="7">
        <f>'Health Benefits'!B30</f>
        <v>0</v>
      </c>
      <c r="K21" s="7">
        <f>'Residual Value'!B38</f>
        <v>0</v>
      </c>
      <c r="L21" s="7">
        <f>'Cargo Spillage'!B23</f>
        <v>415.36976763494107</v>
      </c>
      <c r="M21" s="7">
        <f>'Other Benefit 2'!B23</f>
        <v>0</v>
      </c>
      <c r="N21" s="7">
        <f>'Other Benefit 3'!B23</f>
        <v>0</v>
      </c>
      <c r="O21" s="7">
        <f>'Other Benefit 4'!B27</f>
        <v>0</v>
      </c>
      <c r="P21" s="156">
        <f t="shared" si="0"/>
        <v>4868693.4207625007</v>
      </c>
      <c r="Q21" s="18">
        <f>IFERROR(((P21-G21)/(1.031)^(A21-Overview!$B$22))+((G21)/(1.02)^(A21-Overview!$B$22)),0)</f>
        <v>2364791.8215226457</v>
      </c>
    </row>
    <row r="22" spans="1:17" x14ac:dyDescent="0.25">
      <c r="A22" s="1">
        <f>IF(A21&lt;'Project Information'!B$11,A21+1,"")</f>
        <v>2044</v>
      </c>
      <c r="B22" s="7">
        <f>'Operations and Maintenance'!D24</f>
        <v>2800</v>
      </c>
      <c r="C22" s="7">
        <f>Safety!D38</f>
        <v>1850137.1097889002</v>
      </c>
      <c r="D22" s="7">
        <f>'Travel Time Savings'!D36</f>
        <v>0</v>
      </c>
      <c r="E22" s="7">
        <f>'Vehicle Operating Cost Savings'!D42</f>
        <v>0</v>
      </c>
      <c r="F22" s="21">
        <f>'Emissions Reduction'!S49</f>
        <v>3701711.5832389761</v>
      </c>
      <c r="G22" s="21">
        <f>'Emissions Reduction'!T49</f>
        <v>-1561538.6076026172</v>
      </c>
      <c r="H22" s="21">
        <f>'Other Highway Use Externalities'!B36</f>
        <v>882725.05736236973</v>
      </c>
      <c r="I22" s="7">
        <f>'Amenity Benefits'!B27</f>
        <v>0</v>
      </c>
      <c r="J22" s="7">
        <f>'Health Benefits'!B31</f>
        <v>0</v>
      </c>
      <c r="K22" s="7">
        <f>'Residual Value'!B39</f>
        <v>0</v>
      </c>
      <c r="L22" s="7">
        <f>'Cargo Spillage'!B24</f>
        <v>419.52346531129069</v>
      </c>
      <c r="M22" s="7">
        <f>'Other Benefit 2'!B24</f>
        <v>0</v>
      </c>
      <c r="N22" s="7">
        <f>'Other Benefit 3'!B24</f>
        <v>0</v>
      </c>
      <c r="O22" s="7">
        <f>'Other Benefit 4'!B28</f>
        <v>0</v>
      </c>
      <c r="P22" s="156">
        <f t="shared" si="0"/>
        <v>4870654.66625294</v>
      </c>
      <c r="Q22" s="18">
        <f>IFERROR(((P22-G22)/(1.031)^(A22-Overview!$B$22))+((G22)/(1.02)^(A22-Overview!$B$22)),0)</f>
        <v>2275942.6080820905</v>
      </c>
    </row>
    <row r="23" spans="1:17" x14ac:dyDescent="0.25">
      <c r="A23" s="1">
        <f>IF(A22&lt;'Project Information'!B$11,A22+1,"")</f>
        <v>2045</v>
      </c>
      <c r="B23" s="7">
        <f>'Operations and Maintenance'!D25</f>
        <v>2800</v>
      </c>
      <c r="C23" s="7">
        <f>Safety!D39</f>
        <v>1868638.480886789</v>
      </c>
      <c r="D23" s="7">
        <f>'Travel Time Savings'!D37</f>
        <v>0</v>
      </c>
      <c r="E23" s="7">
        <f>'Vehicle Operating Cost Savings'!D43</f>
        <v>0</v>
      </c>
      <c r="F23" s="21">
        <f>'Emissions Reduction'!S50</f>
        <v>3738728.6990713659</v>
      </c>
      <c r="G23" s="21">
        <f>'Emissions Reduction'!T50</f>
        <v>-1624375.2192830015</v>
      </c>
      <c r="H23" s="21">
        <f>'Other Highway Use Externalities'!B37</f>
        <v>891552.30793599342</v>
      </c>
      <c r="I23" s="7">
        <f>'Amenity Benefits'!B28</f>
        <v>0</v>
      </c>
      <c r="J23" s="7">
        <f>'Health Benefits'!B32</f>
        <v>0</v>
      </c>
      <c r="K23" s="7">
        <f>'Residual Value'!B40</f>
        <v>0</v>
      </c>
      <c r="L23" s="7">
        <f>'Cargo Spillage'!B25</f>
        <v>423.7186999644029</v>
      </c>
      <c r="M23" s="7">
        <f>'Other Benefit 2'!B25</f>
        <v>0</v>
      </c>
      <c r="N23" s="7">
        <f>'Other Benefit 3'!B25</f>
        <v>0</v>
      </c>
      <c r="O23" s="7">
        <f>'Other Benefit 4'!B29</f>
        <v>0</v>
      </c>
      <c r="P23" s="156">
        <f t="shared" si="0"/>
        <v>4872167.9873111118</v>
      </c>
      <c r="Q23" s="18">
        <f>IFERROR(((P23-G23)/(1.031)^(A23-Overview!$B$22))+((G23)/(1.02)^(A23-Overview!$B$22)),0)</f>
        <v>2188982.1801174693</v>
      </c>
    </row>
    <row r="24" spans="1:17" x14ac:dyDescent="0.25">
      <c r="A24" s="1">
        <f>IF(A23&lt;'Project Information'!B$11,A23+1,"")</f>
        <v>2046</v>
      </c>
      <c r="B24" s="7">
        <f>'Operations and Maintenance'!D26</f>
        <v>2800</v>
      </c>
      <c r="C24" s="7">
        <f>Safety!D40</f>
        <v>1887324.8656956572</v>
      </c>
      <c r="D24" s="7">
        <f>'Travel Time Savings'!D38</f>
        <v>0</v>
      </c>
      <c r="E24" s="7">
        <f>'Vehicle Operating Cost Savings'!D44</f>
        <v>0</v>
      </c>
      <c r="F24" s="21">
        <f>'Emissions Reduction'!S51</f>
        <v>3776115.9860620801</v>
      </c>
      <c r="G24" s="21">
        <f>'Emissions Reduction'!T51</f>
        <v>-1688312.4093362344</v>
      </c>
      <c r="H24" s="21">
        <f>'Other Highway Use Externalities'!B38</f>
        <v>900467.83101535356</v>
      </c>
      <c r="I24" s="7">
        <f>'Amenity Benefits'!B29</f>
        <v>0</v>
      </c>
      <c r="J24" s="7">
        <f>'Health Benefits'!B33</f>
        <v>0</v>
      </c>
      <c r="K24" s="7">
        <f>'Residual Value'!B41</f>
        <v>0</v>
      </c>
      <c r="L24" s="7">
        <f>'Cargo Spillage'!B26</f>
        <v>427.95588696404707</v>
      </c>
      <c r="M24" s="7">
        <f>'Other Benefit 2'!B26</f>
        <v>0</v>
      </c>
      <c r="N24" s="7">
        <f>'Other Benefit 3'!B26</f>
        <v>0</v>
      </c>
      <c r="O24" s="7">
        <f>'Other Benefit 4'!B30</f>
        <v>0</v>
      </c>
      <c r="P24" s="156">
        <f t="shared" si="0"/>
        <v>4873224.2293238193</v>
      </c>
      <c r="Q24" s="18">
        <f>IFERROR(((P24-G24)/(1.031)^(A24-Overview!$B$22))+((G24)/(1.02)^(A24-Overview!$B$22)),0)</f>
        <v>2103874.4317685715</v>
      </c>
    </row>
    <row r="25" spans="1:17" x14ac:dyDescent="0.25">
      <c r="A25" s="1">
        <f>IF(A24&lt;'Project Information'!B$11,A24+1,"")</f>
        <v>2047</v>
      </c>
      <c r="B25" s="7">
        <f>'Operations and Maintenance'!D27</f>
        <v>2800</v>
      </c>
      <c r="C25" s="7">
        <f>Safety!D41</f>
        <v>1906198.1143526135</v>
      </c>
      <c r="D25" s="7">
        <f>'Travel Time Savings'!D39</f>
        <v>0</v>
      </c>
      <c r="E25" s="7">
        <f>'Vehicle Operating Cost Savings'!D45</f>
        <v>0</v>
      </c>
      <c r="F25" s="21">
        <f>'Emissions Reduction'!S52</f>
        <v>3813877.1459227004</v>
      </c>
      <c r="G25" s="21">
        <f>'Emissions Reduction'!T52</f>
        <v>-1765408.4987283535</v>
      </c>
      <c r="H25" s="21">
        <f>'Other Highway Use Externalities'!B39</f>
        <v>909472.50932550698</v>
      </c>
      <c r="I25" s="7">
        <f>'Amenity Benefits'!B30</f>
        <v>0</v>
      </c>
      <c r="J25" s="7">
        <f>'Health Benefits'!B34</f>
        <v>0</v>
      </c>
      <c r="K25" s="7">
        <f>'Residual Value'!B42</f>
        <v>0</v>
      </c>
      <c r="L25" s="7">
        <f>'Cargo Spillage'!B27</f>
        <v>432.23544583368738</v>
      </c>
      <c r="M25" s="7">
        <f>'Other Benefit 2'!B27</f>
        <v>0</v>
      </c>
      <c r="N25" s="7">
        <f>'Other Benefit 3'!B27</f>
        <v>0</v>
      </c>
      <c r="O25" s="7">
        <f>'Other Benefit 4'!B31</f>
        <v>0</v>
      </c>
      <c r="P25" s="156">
        <f t="shared" si="0"/>
        <v>4861771.506318301</v>
      </c>
      <c r="Q25" s="18">
        <f>IFERROR(((P25-G25)/(1.031)^(A25-Overview!$B$22))+((G25)/(1.02)^(A25-Overview!$B$22)),0)</f>
        <v>2013243.6062016562</v>
      </c>
    </row>
    <row r="26" spans="1:17" x14ac:dyDescent="0.25">
      <c r="A26" s="1" t="str">
        <f>IF(A25&lt;'Project Information'!B$11,A25+1,"")</f>
        <v/>
      </c>
      <c r="B26" s="7">
        <f>'Operations and Maintenance'!D28</f>
        <v>0</v>
      </c>
      <c r="C26" s="7">
        <f>Safety!D42</f>
        <v>0</v>
      </c>
      <c r="D26" s="7">
        <f>'Travel Time Savings'!D40</f>
        <v>0</v>
      </c>
      <c r="E26" s="7">
        <f>'Vehicle Operating Cost Savings'!D46</f>
        <v>0</v>
      </c>
      <c r="F26" s="21">
        <f>'Emissions Reduction'!S53</f>
        <v>0</v>
      </c>
      <c r="G26" s="21">
        <f>'Emissions Reduction'!T53</f>
        <v>0</v>
      </c>
      <c r="H26" s="21">
        <f>'Other Highway Use Externalities'!B40</f>
        <v>0</v>
      </c>
      <c r="I26" s="7">
        <f>'Amenity Benefits'!B31</f>
        <v>0</v>
      </c>
      <c r="J26" s="7">
        <f>'Health Benefits'!B35</f>
        <v>0</v>
      </c>
      <c r="K26" s="7">
        <f>'Residual Value'!B43</f>
        <v>0</v>
      </c>
      <c r="L26" s="7">
        <f>'Cargo Spillage'!B28</f>
        <v>0</v>
      </c>
      <c r="M26" s="7">
        <f>'Other Benefit 2'!B28</f>
        <v>0</v>
      </c>
      <c r="N26" s="7">
        <f>'Other Benefit 3'!B28</f>
        <v>0</v>
      </c>
      <c r="O26" s="7">
        <f>'Other Benefit 4'!B32</f>
        <v>0</v>
      </c>
      <c r="P26" s="156">
        <f t="shared" si="0"/>
        <v>0</v>
      </c>
      <c r="Q26" s="18">
        <f>IFERROR(((P26-G26)/(1.031)^(A26-Overview!$B$22))+((G26)/(1.02)^(A26-Overview!$B$22)),0)</f>
        <v>0</v>
      </c>
    </row>
    <row r="27" spans="1:17" x14ac:dyDescent="0.25">
      <c r="A27" s="1" t="str">
        <f>IF(A26&lt;'Project Information'!B$11,A26+1,"")</f>
        <v/>
      </c>
      <c r="B27" s="7">
        <f>'Operations and Maintenance'!D29</f>
        <v>0</v>
      </c>
      <c r="C27" s="7">
        <f>Safety!D43</f>
        <v>0</v>
      </c>
      <c r="D27" s="7">
        <f>'Travel Time Savings'!D41</f>
        <v>0</v>
      </c>
      <c r="E27" s="7">
        <f>'Vehicle Operating Cost Savings'!D47</f>
        <v>0</v>
      </c>
      <c r="F27" s="21">
        <f>'Emissions Reduction'!S54</f>
        <v>0</v>
      </c>
      <c r="G27" s="21">
        <f>'Emissions Reduction'!T54</f>
        <v>0</v>
      </c>
      <c r="H27" s="21">
        <f>'Other Highway Use Externalities'!B41</f>
        <v>0</v>
      </c>
      <c r="I27" s="7">
        <f>'Amenity Benefits'!B32</f>
        <v>0</v>
      </c>
      <c r="J27" s="7">
        <f>'Health Benefits'!B36</f>
        <v>0</v>
      </c>
      <c r="K27" s="7">
        <f>'Residual Value'!B44</f>
        <v>0</v>
      </c>
      <c r="L27" s="7">
        <f>'Cargo Spillage'!B29</f>
        <v>0</v>
      </c>
      <c r="M27" s="7">
        <f>'Other Benefit 2'!B29</f>
        <v>0</v>
      </c>
      <c r="N27" s="7">
        <f>'Other Benefit 3'!B29</f>
        <v>0</v>
      </c>
      <c r="O27" s="7">
        <f>'Other Benefit 4'!B33</f>
        <v>0</v>
      </c>
      <c r="P27" s="156">
        <f t="shared" si="0"/>
        <v>0</v>
      </c>
      <c r="Q27" s="18">
        <f>IFERROR(((P27-G27)/(1.031)^(A27-Overview!$B$22))+((G27)/(1.02)^(A27-Overview!$B$22)),0)</f>
        <v>0</v>
      </c>
    </row>
    <row r="28" spans="1:17" x14ac:dyDescent="0.25">
      <c r="A28" s="1" t="str">
        <f>IF(A27&lt;'Project Information'!B$11,A27+1,"")</f>
        <v/>
      </c>
      <c r="B28" s="7">
        <f>'Operations and Maintenance'!D30</f>
        <v>0</v>
      </c>
      <c r="C28" s="7">
        <f>Safety!D44</f>
        <v>0</v>
      </c>
      <c r="D28" s="7">
        <f>'Travel Time Savings'!D42</f>
        <v>0</v>
      </c>
      <c r="E28" s="7">
        <f>'Vehicle Operating Cost Savings'!D48</f>
        <v>0</v>
      </c>
      <c r="F28" s="21">
        <f>'Emissions Reduction'!S55</f>
        <v>0</v>
      </c>
      <c r="G28" s="21">
        <f>'Emissions Reduction'!T55</f>
        <v>0</v>
      </c>
      <c r="H28" s="21">
        <f>'Other Highway Use Externalities'!B42</f>
        <v>0</v>
      </c>
      <c r="I28" s="7">
        <f>'Amenity Benefits'!B33</f>
        <v>0</v>
      </c>
      <c r="J28" s="7">
        <f>'Health Benefits'!B37</f>
        <v>0</v>
      </c>
      <c r="K28" s="7">
        <f>'Residual Value'!B45</f>
        <v>0</v>
      </c>
      <c r="L28" s="7">
        <f>'Cargo Spillage'!B30</f>
        <v>0</v>
      </c>
      <c r="M28" s="7">
        <f>'Other Benefit 2'!B30</f>
        <v>0</v>
      </c>
      <c r="N28" s="7">
        <f>'Other Benefit 3'!B30</f>
        <v>0</v>
      </c>
      <c r="O28" s="7">
        <f>'Other Benefit 4'!B34</f>
        <v>0</v>
      </c>
      <c r="P28" s="156">
        <f t="shared" si="0"/>
        <v>0</v>
      </c>
      <c r="Q28" s="18">
        <f>IFERROR(((P28-G28)/(1.031)^(A28-Overview!$B$22))+((G28)/(1.02)^(A28-Overview!$B$22)),0)</f>
        <v>0</v>
      </c>
    </row>
    <row r="29" spans="1:17" x14ac:dyDescent="0.25">
      <c r="A29" s="1" t="str">
        <f>IF(A28&lt;'Project Information'!B$11,A28+1,"")</f>
        <v/>
      </c>
      <c r="B29" s="7">
        <f>'Operations and Maintenance'!D31</f>
        <v>0</v>
      </c>
      <c r="C29" s="7">
        <f>Safety!D45</f>
        <v>0</v>
      </c>
      <c r="D29" s="7">
        <f>'Travel Time Savings'!D43</f>
        <v>0</v>
      </c>
      <c r="E29" s="7">
        <f>'Vehicle Operating Cost Savings'!D49</f>
        <v>0</v>
      </c>
      <c r="F29" s="21">
        <f>'Emissions Reduction'!S56</f>
        <v>0</v>
      </c>
      <c r="G29" s="21">
        <f>'Emissions Reduction'!T56</f>
        <v>0</v>
      </c>
      <c r="H29" s="21">
        <f>'Other Highway Use Externalities'!B43</f>
        <v>0</v>
      </c>
      <c r="I29" s="7">
        <f>'Amenity Benefits'!B34</f>
        <v>0</v>
      </c>
      <c r="J29" s="7">
        <f>'Health Benefits'!B38</f>
        <v>0</v>
      </c>
      <c r="K29" s="7">
        <f>'Residual Value'!B46</f>
        <v>0</v>
      </c>
      <c r="L29" s="7">
        <f>'Cargo Spillage'!B31</f>
        <v>0</v>
      </c>
      <c r="M29" s="7">
        <f>'Other Benefit 2'!B31</f>
        <v>0</v>
      </c>
      <c r="N29" s="7">
        <f>'Other Benefit 3'!B31</f>
        <v>0</v>
      </c>
      <c r="O29" s="7">
        <f>'Other Benefit 4'!B35</f>
        <v>0</v>
      </c>
      <c r="P29" s="156">
        <f t="shared" si="0"/>
        <v>0</v>
      </c>
      <c r="Q29" s="18">
        <f>IFERROR(((P29-G29)/(1.031)^(A29-Overview!$B$22))+((G29)/(1.02)^(A29-Overview!$B$22)),0)</f>
        <v>0</v>
      </c>
    </row>
    <row r="30" spans="1:17" x14ac:dyDescent="0.25">
      <c r="A30" s="1" t="str">
        <f>IF(A29&lt;'Project Information'!B$11,A29+1,"")</f>
        <v/>
      </c>
      <c r="B30" s="7">
        <f>'Operations and Maintenance'!D32</f>
        <v>0</v>
      </c>
      <c r="C30" s="7">
        <f>Safety!D46</f>
        <v>0</v>
      </c>
      <c r="D30" s="7">
        <f>'Travel Time Savings'!D44</f>
        <v>0</v>
      </c>
      <c r="E30" s="7">
        <f>'Vehicle Operating Cost Savings'!D50</f>
        <v>0</v>
      </c>
      <c r="F30" s="21">
        <f>'Emissions Reduction'!S57</f>
        <v>0</v>
      </c>
      <c r="G30" s="21">
        <f>'Emissions Reduction'!T57</f>
        <v>0</v>
      </c>
      <c r="H30" s="21">
        <f>'Other Highway Use Externalities'!B44</f>
        <v>0</v>
      </c>
      <c r="I30" s="7">
        <f>'Amenity Benefits'!B35</f>
        <v>0</v>
      </c>
      <c r="J30" s="7">
        <f>'Health Benefits'!B39</f>
        <v>0</v>
      </c>
      <c r="K30" s="7">
        <f>'Residual Value'!B47</f>
        <v>0</v>
      </c>
      <c r="L30" s="7">
        <f>'Cargo Spillage'!B32</f>
        <v>0</v>
      </c>
      <c r="M30" s="7">
        <f>'Other Benefit 2'!B32</f>
        <v>0</v>
      </c>
      <c r="N30" s="7">
        <f>'Other Benefit 3'!B32</f>
        <v>0</v>
      </c>
      <c r="O30" s="7">
        <f>'Other Benefit 4'!B36</f>
        <v>0</v>
      </c>
      <c r="P30" s="156">
        <f t="shared" si="0"/>
        <v>0</v>
      </c>
      <c r="Q30" s="18">
        <f>IFERROR(((P30-G30)/(1.031)^(A30-Overview!$B$22))+((G30)/(1.02)^(A30-Overview!$B$22)),0)</f>
        <v>0</v>
      </c>
    </row>
    <row r="31" spans="1:17" x14ac:dyDescent="0.25">
      <c r="A31" s="1" t="str">
        <f>IF(A30&lt;'Project Information'!B$11,A30+1,"")</f>
        <v/>
      </c>
      <c r="B31" s="7">
        <f>'Operations and Maintenance'!D33</f>
        <v>0</v>
      </c>
      <c r="C31" s="7">
        <f>Safety!D47</f>
        <v>0</v>
      </c>
      <c r="D31" s="7">
        <f>'Travel Time Savings'!D45</f>
        <v>0</v>
      </c>
      <c r="E31" s="7">
        <f>'Vehicle Operating Cost Savings'!D51</f>
        <v>0</v>
      </c>
      <c r="F31" s="21">
        <f>'Emissions Reduction'!S58</f>
        <v>0</v>
      </c>
      <c r="G31" s="21">
        <f>'Emissions Reduction'!T58</f>
        <v>0</v>
      </c>
      <c r="H31" s="21">
        <f>'Other Highway Use Externalities'!B45</f>
        <v>0</v>
      </c>
      <c r="I31" s="7">
        <f>'Amenity Benefits'!B36</f>
        <v>0</v>
      </c>
      <c r="J31" s="7">
        <f>'Health Benefits'!B40</f>
        <v>0</v>
      </c>
      <c r="K31" s="7">
        <f>'Residual Value'!B48</f>
        <v>0</v>
      </c>
      <c r="L31" s="7">
        <f>'Cargo Spillage'!B33</f>
        <v>0</v>
      </c>
      <c r="M31" s="7">
        <f>'Other Benefit 2'!B33</f>
        <v>0</v>
      </c>
      <c r="N31" s="7">
        <f>'Other Benefit 3'!B33</f>
        <v>0</v>
      </c>
      <c r="O31" s="7">
        <f>'Other Benefit 4'!B37</f>
        <v>0</v>
      </c>
      <c r="P31" s="156">
        <f t="shared" si="0"/>
        <v>0</v>
      </c>
      <c r="Q31" s="18">
        <f>IFERROR(((P31-G31)/(1.031)^(A31-Overview!$B$22))+((G31)/(1.02)^(A31-Overview!$B$22)),0)</f>
        <v>0</v>
      </c>
    </row>
    <row r="32" spans="1:17" x14ac:dyDescent="0.25">
      <c r="A32" s="1" t="str">
        <f>IF(A31&lt;'Project Information'!B$11,A31+1,"")</f>
        <v/>
      </c>
      <c r="B32" s="7">
        <f>'Operations and Maintenance'!D34</f>
        <v>0</v>
      </c>
      <c r="C32" s="7">
        <f>Safety!D48</f>
        <v>0</v>
      </c>
      <c r="D32" s="7">
        <f>'Travel Time Savings'!D46</f>
        <v>0</v>
      </c>
      <c r="E32" s="7">
        <f>'Vehicle Operating Cost Savings'!D52</f>
        <v>0</v>
      </c>
      <c r="F32" s="21">
        <f>'Emissions Reduction'!S59</f>
        <v>0</v>
      </c>
      <c r="G32" s="21">
        <f>'Emissions Reduction'!T59</f>
        <v>0</v>
      </c>
      <c r="H32" s="21">
        <f>'Other Highway Use Externalities'!B46</f>
        <v>0</v>
      </c>
      <c r="I32" s="7">
        <f>'Amenity Benefits'!B37</f>
        <v>0</v>
      </c>
      <c r="J32" s="7">
        <f>'Health Benefits'!B41</f>
        <v>0</v>
      </c>
      <c r="K32" s="7">
        <f>'Residual Value'!B49</f>
        <v>0</v>
      </c>
      <c r="L32" s="7">
        <f>'Cargo Spillage'!B34</f>
        <v>0</v>
      </c>
      <c r="M32" s="7">
        <f>'Other Benefit 2'!B34</f>
        <v>0</v>
      </c>
      <c r="N32" s="7">
        <f>'Other Benefit 3'!B34</f>
        <v>0</v>
      </c>
      <c r="O32" s="7">
        <f>'Other Benefit 4'!B38</f>
        <v>0</v>
      </c>
      <c r="P32" s="156">
        <f t="shared" si="0"/>
        <v>0</v>
      </c>
      <c r="Q32" s="18">
        <f>IFERROR(((P32-G32)/(1.031)^(A32-Overview!$B$22))+((G32)/(1.02)^(A32-Overview!$B$22)),0)</f>
        <v>0</v>
      </c>
    </row>
    <row r="33" spans="1:17" x14ac:dyDescent="0.25">
      <c r="A33" s="1" t="str">
        <f>IF(A32&lt;'Project Information'!B$11,A32+1,"")</f>
        <v/>
      </c>
      <c r="B33" s="7">
        <f>'Operations and Maintenance'!D35</f>
        <v>0</v>
      </c>
      <c r="C33" s="7">
        <f>Safety!D49</f>
        <v>0</v>
      </c>
      <c r="D33" s="7">
        <f>'Travel Time Savings'!D47</f>
        <v>0</v>
      </c>
      <c r="E33" s="7">
        <f>'Vehicle Operating Cost Savings'!D53</f>
        <v>0</v>
      </c>
      <c r="F33" s="21">
        <f>'Emissions Reduction'!S60</f>
        <v>0</v>
      </c>
      <c r="G33" s="21">
        <f>'Emissions Reduction'!T60</f>
        <v>0</v>
      </c>
      <c r="H33" s="21">
        <f>'Other Highway Use Externalities'!B47</f>
        <v>0</v>
      </c>
      <c r="I33" s="7">
        <f>'Amenity Benefits'!B38</f>
        <v>0</v>
      </c>
      <c r="J33" s="7">
        <f>'Health Benefits'!B42</f>
        <v>0</v>
      </c>
      <c r="K33" s="7">
        <f>'Residual Value'!B50</f>
        <v>0</v>
      </c>
      <c r="L33" s="7">
        <f>'Cargo Spillage'!B35</f>
        <v>0</v>
      </c>
      <c r="M33" s="7">
        <f>'Other Benefit 2'!B35</f>
        <v>0</v>
      </c>
      <c r="N33" s="7">
        <f>'Other Benefit 3'!B35</f>
        <v>0</v>
      </c>
      <c r="O33" s="7">
        <f>'Other Benefit 4'!B39</f>
        <v>0</v>
      </c>
      <c r="P33" s="156">
        <f t="shared" si="0"/>
        <v>0</v>
      </c>
      <c r="Q33" s="18">
        <f>IFERROR(((P33-G33)/(1.031)^(A33-Overview!$B$22))+((G33)/(1.02)^(A33-Overview!$B$22)),0)</f>
        <v>0</v>
      </c>
    </row>
    <row r="34" spans="1:17" x14ac:dyDescent="0.25">
      <c r="A34" s="1" t="str">
        <f>IF(A33&lt;'Project Information'!B$11,A33+1,"")</f>
        <v/>
      </c>
      <c r="B34" s="7">
        <f>'Operations and Maintenance'!D36</f>
        <v>0</v>
      </c>
      <c r="C34" s="7">
        <f>Safety!D50</f>
        <v>0</v>
      </c>
      <c r="D34" s="7">
        <f>'Travel Time Savings'!D48</f>
        <v>0</v>
      </c>
      <c r="E34" s="7">
        <f>'Vehicle Operating Cost Savings'!D54</f>
        <v>0</v>
      </c>
      <c r="F34" s="21">
        <f>'Emissions Reduction'!S61</f>
        <v>0</v>
      </c>
      <c r="G34" s="21">
        <f>'Emissions Reduction'!T61</f>
        <v>0</v>
      </c>
      <c r="H34" s="21">
        <f>'Other Highway Use Externalities'!B48</f>
        <v>0</v>
      </c>
      <c r="I34" s="7">
        <f>'Amenity Benefits'!B39</f>
        <v>0</v>
      </c>
      <c r="J34" s="7">
        <f>'Health Benefits'!B43</f>
        <v>0</v>
      </c>
      <c r="K34" s="7">
        <f>'Residual Value'!B51</f>
        <v>0</v>
      </c>
      <c r="L34" s="7">
        <f>'Cargo Spillage'!B36</f>
        <v>0</v>
      </c>
      <c r="M34" s="7">
        <f>'Other Benefit 2'!B36</f>
        <v>0</v>
      </c>
      <c r="N34" s="7">
        <f>'Other Benefit 3'!B36</f>
        <v>0</v>
      </c>
      <c r="O34" s="7">
        <f>'Other Benefit 4'!B40</f>
        <v>0</v>
      </c>
      <c r="P34" s="156">
        <f t="shared" si="0"/>
        <v>0</v>
      </c>
      <c r="Q34" s="18">
        <f>IFERROR(((P34-G34)/(1.031)^(A34-Overview!$B$22))+((G34)/(1.02)^(A34-Overview!$B$22)),0)</f>
        <v>0</v>
      </c>
    </row>
    <row r="35" spans="1:17" x14ac:dyDescent="0.25">
      <c r="A35" s="1" t="str">
        <f>IF(A34&lt;'Project Information'!B$11,A34+1,"")</f>
        <v/>
      </c>
      <c r="B35" s="7">
        <f>'Operations and Maintenance'!D37</f>
        <v>0</v>
      </c>
      <c r="C35" s="7">
        <f>Safety!D51</f>
        <v>0</v>
      </c>
      <c r="D35" s="7">
        <f>'Travel Time Savings'!D49</f>
        <v>0</v>
      </c>
      <c r="E35" s="7">
        <f>'Vehicle Operating Cost Savings'!D55</f>
        <v>0</v>
      </c>
      <c r="F35" s="21">
        <f>'Emissions Reduction'!S62</f>
        <v>0</v>
      </c>
      <c r="G35" s="21">
        <f>'Emissions Reduction'!T62</f>
        <v>0</v>
      </c>
      <c r="H35" s="21">
        <f>'Other Highway Use Externalities'!B49</f>
        <v>0</v>
      </c>
      <c r="I35" s="7">
        <f>'Amenity Benefits'!B40</f>
        <v>0</v>
      </c>
      <c r="J35" s="7">
        <f>'Health Benefits'!B44</f>
        <v>0</v>
      </c>
      <c r="K35" s="7">
        <f>'Residual Value'!B52</f>
        <v>0</v>
      </c>
      <c r="L35" s="7">
        <f>'Cargo Spillage'!B37</f>
        <v>0</v>
      </c>
      <c r="M35" s="7">
        <f>'Other Benefit 2'!B37</f>
        <v>0</v>
      </c>
      <c r="N35" s="7">
        <f>'Other Benefit 3'!B37</f>
        <v>0</v>
      </c>
      <c r="O35" s="7">
        <f>'Other Benefit 4'!B41</f>
        <v>0</v>
      </c>
      <c r="P35" s="156">
        <f t="shared" si="0"/>
        <v>0</v>
      </c>
      <c r="Q35" s="18">
        <f>IFERROR(((P35-G35)/(1.031)^(A35-Overview!$B$22))+((G35)/(1.02)^(A35-Overview!$B$22)),0)</f>
        <v>0</v>
      </c>
    </row>
    <row r="36" spans="1:17" x14ac:dyDescent="0.25">
      <c r="A36" s="3" t="s">
        <v>585</v>
      </c>
      <c r="B36" s="169">
        <f>SUM(B6:B35)</f>
        <v>56000</v>
      </c>
      <c r="C36" s="169">
        <f t="shared" ref="C36:O36" si="1">SUM(C6:C35)</f>
        <v>34742383.027122475</v>
      </c>
      <c r="D36" s="169">
        <f t="shared" si="1"/>
        <v>0</v>
      </c>
      <c r="E36" s="169">
        <f t="shared" si="1"/>
        <v>0</v>
      </c>
      <c r="F36" s="172">
        <f t="shared" si="1"/>
        <v>69602132.142490998</v>
      </c>
      <c r="G36" s="172">
        <f t="shared" si="1"/>
        <v>-24145259.766542301</v>
      </c>
      <c r="H36" s="172">
        <f t="shared" si="1"/>
        <v>16576053.68178433</v>
      </c>
      <c r="I36" s="169">
        <f t="shared" si="1"/>
        <v>0</v>
      </c>
      <c r="J36" s="169">
        <f t="shared" si="1"/>
        <v>0</v>
      </c>
      <c r="K36" s="169">
        <f t="shared" si="1"/>
        <v>0</v>
      </c>
      <c r="L36" s="169">
        <f t="shared" si="1"/>
        <v>7877.926908008244</v>
      </c>
      <c r="M36" s="169">
        <f t="shared" si="1"/>
        <v>0</v>
      </c>
      <c r="N36" s="169">
        <f t="shared" si="1"/>
        <v>0</v>
      </c>
      <c r="O36" s="169">
        <f t="shared" si="1"/>
        <v>0</v>
      </c>
      <c r="P36" s="170">
        <f>SUM(P6:P35)</f>
        <v>96727187.011763513</v>
      </c>
      <c r="Q36" s="171">
        <f>SUM(Q6:Q35)</f>
        <v>58369882.06842643</v>
      </c>
    </row>
    <row r="37" spans="1:17" x14ac:dyDescent="0.25">
      <c r="A37" s="25" t="s">
        <v>586</v>
      </c>
      <c r="B37" s="169">
        <f>NPV(0.031,B6:B35)/(1.031)^($A$6-Overview!$B$22-1)</f>
        <v>35431.316442834817</v>
      </c>
      <c r="C37" s="169">
        <f>NPV(0.031,C6:C35)/(1.031)^($A$6-Overview!$B$22-1)</f>
        <v>21761509.287559282</v>
      </c>
      <c r="D37" s="169">
        <f>NPV(0.031,D6:D35)/(1.031)^($A$6-Overview!$B$22-1)</f>
        <v>0</v>
      </c>
      <c r="E37" s="169">
        <f>NPV(0.031,E6:E35)/(1.031)^($A$6-Overview!$B$22-1)</f>
        <v>0</v>
      </c>
      <c r="F37" s="37">
        <f>NPV(0.031,F6:F35)/(1.031)^($A$6-Overview!$B$22-1)</f>
        <v>43614489.630145401</v>
      </c>
      <c r="G37" s="37">
        <f>NPV(0.02,G6:G35)/(1.02)^($A$6-Overview!$B$22-1)</f>
        <v>-17358325.938649464</v>
      </c>
      <c r="H37" s="37">
        <f>NPV(0.031,H6:H35)/(1.031)^($A$6-Overview!$B$22-1)</f>
        <v>10382705.926235</v>
      </c>
      <c r="I37" s="169">
        <f>NPV(0.031,I6:I35)/(1.031)^($A$6-Overview!$B$22-1)</f>
        <v>0</v>
      </c>
      <c r="J37" s="169">
        <f>NPV(0.031,J6:J35)/(1.031)^($A$6-Overview!$B$22-1)</f>
        <v>0</v>
      </c>
      <c r="K37" s="169">
        <f>NPV(0.031,K6:K35)/(1.031)^($A$6-Overview!$B$22-1)</f>
        <v>0</v>
      </c>
      <c r="L37" s="169">
        <f>NPV(0.031,L6:L35)/(1.031)^($A$6-Overview!$B$22-1)</f>
        <v>4934.4795790633952</v>
      </c>
      <c r="M37" s="169">
        <f>NPV(0.031,M6:M35)/(1.031)^($A$6-Overview!$B$22-1)</f>
        <v>0</v>
      </c>
      <c r="N37" s="169">
        <f>NPV(0.02,N6:N35)/(1.02)^($A$6-Overview!$B$22-1)</f>
        <v>0</v>
      </c>
      <c r="O37" s="169">
        <f>NPV(0.031,O6:O35)/(1.031)^($A$6-Overview!$B$22-1)</f>
        <v>0</v>
      </c>
      <c r="P37" s="3"/>
      <c r="Q37" s="169">
        <f>SUM(Q6:Q35)</f>
        <v>58369882.06842643</v>
      </c>
    </row>
    <row r="38" spans="1:17" x14ac:dyDescent="0.25">
      <c r="A38" s="5" t="s">
        <v>30</v>
      </c>
    </row>
    <row r="39" spans="1:17" x14ac:dyDescent="0.25">
      <c r="A39" s="96" t="s">
        <v>587</v>
      </c>
      <c r="F39" s="36"/>
      <c r="G39" s="390"/>
    </row>
    <row r="40" spans="1:17" x14ac:dyDescent="0.25">
      <c r="A40" s="109" t="s">
        <v>239</v>
      </c>
      <c r="B40" s="112" t="s">
        <v>588</v>
      </c>
      <c r="C40" s="107" t="s">
        <v>589</v>
      </c>
      <c r="F40" s="36"/>
      <c r="G40" s="390"/>
    </row>
    <row r="41" spans="1:17" x14ac:dyDescent="0.25">
      <c r="A41" s="120">
        <f>'Capital Costs'!A9</f>
        <v>2024</v>
      </c>
      <c r="B41" s="7">
        <f>'Capital Costs'!C9</f>
        <v>1822099.2000000002</v>
      </c>
      <c r="C41" s="18">
        <f>B41/(1.031)^(A41-Overview!$B$22)</f>
        <v>1714173.1446403025</v>
      </c>
      <c r="G41" s="390"/>
    </row>
    <row r="42" spans="1:17" x14ac:dyDescent="0.25">
      <c r="A42" s="121">
        <f t="shared" ref="A42:A55" si="2">A41+1</f>
        <v>2025</v>
      </c>
      <c r="B42" s="7">
        <f>'Capital Costs'!C10</f>
        <v>4555248</v>
      </c>
      <c r="C42" s="18">
        <f>B42/(1.031)^(A42-Overview!$B$22)</f>
        <v>4156578.9152286672</v>
      </c>
      <c r="G42" s="391"/>
    </row>
    <row r="43" spans="1:17" x14ac:dyDescent="0.25">
      <c r="A43" s="121">
        <f t="shared" si="2"/>
        <v>2026</v>
      </c>
      <c r="B43" s="7">
        <f>'Capital Costs'!C11</f>
        <v>6377347.1999999993</v>
      </c>
      <c r="C43" s="18">
        <f>B43/(1.031)^(A43-Overview!$B$22)</f>
        <v>5644239.0701456191</v>
      </c>
      <c r="G43" s="392"/>
    </row>
    <row r="44" spans="1:17" x14ac:dyDescent="0.25">
      <c r="A44" s="121">
        <f t="shared" si="2"/>
        <v>2027</v>
      </c>
      <c r="B44" s="7">
        <f>'Capital Costs'!C12</f>
        <v>5466297.5999999996</v>
      </c>
      <c r="C44" s="18">
        <f>B44/(1.031)^(A44-Overview!$B$22)</f>
        <v>4692453.1551716393</v>
      </c>
      <c r="F44" s="311"/>
      <c r="G44" s="393"/>
    </row>
    <row r="45" spans="1:17" x14ac:dyDescent="0.25">
      <c r="A45" s="121">
        <f t="shared" si="2"/>
        <v>2028</v>
      </c>
      <c r="B45" s="7">
        <f>'Capital Costs'!C13</f>
        <v>0</v>
      </c>
      <c r="C45" s="18">
        <f>B45/(1.031)^(A45-Overview!$B$22)</f>
        <v>0</v>
      </c>
      <c r="D45" s="36"/>
      <c r="G45" s="394"/>
    </row>
    <row r="46" spans="1:17" x14ac:dyDescent="0.25">
      <c r="A46" s="121">
        <f t="shared" si="2"/>
        <v>2029</v>
      </c>
      <c r="B46" s="7">
        <f>'Capital Costs'!C14</f>
        <v>0</v>
      </c>
      <c r="C46" s="18">
        <f>B46/(1.031)^(A46-Overview!$B$22)</f>
        <v>0</v>
      </c>
      <c r="D46" s="36"/>
    </row>
    <row r="47" spans="1:17" x14ac:dyDescent="0.25">
      <c r="A47" s="121">
        <f t="shared" si="2"/>
        <v>2030</v>
      </c>
      <c r="B47" s="7">
        <f>'Capital Costs'!C15</f>
        <v>0</v>
      </c>
      <c r="C47" s="18">
        <f>B47/(1.031)^(A47-Overview!$B$22)</f>
        <v>0</v>
      </c>
      <c r="D47" s="36"/>
    </row>
    <row r="48" spans="1:17" x14ac:dyDescent="0.25">
      <c r="A48" s="121">
        <f t="shared" si="2"/>
        <v>2031</v>
      </c>
      <c r="B48" s="7">
        <f>'Capital Costs'!C16</f>
        <v>0</v>
      </c>
      <c r="C48" s="18">
        <f>B48/(1.031)^(A48-Overview!$B$22)</f>
        <v>0</v>
      </c>
      <c r="D48" s="36"/>
    </row>
    <row r="49" spans="1:4" x14ac:dyDescent="0.25">
      <c r="A49" s="121">
        <f t="shared" si="2"/>
        <v>2032</v>
      </c>
      <c r="B49" s="7">
        <f>'Capital Costs'!C17</f>
        <v>0</v>
      </c>
      <c r="C49" s="18">
        <f>B49/(1.031)^(A49-Overview!$B$22)</f>
        <v>0</v>
      </c>
      <c r="D49" s="36"/>
    </row>
    <row r="50" spans="1:4" x14ac:dyDescent="0.25">
      <c r="A50" s="121">
        <f t="shared" si="2"/>
        <v>2033</v>
      </c>
      <c r="B50" s="7">
        <f>'Capital Costs'!C18</f>
        <v>0</v>
      </c>
      <c r="C50" s="18">
        <f>B50/(1.031)^(A50-Overview!$B$22)</f>
        <v>0</v>
      </c>
    </row>
    <row r="51" spans="1:4" x14ac:dyDescent="0.25">
      <c r="A51" s="121">
        <f t="shared" si="2"/>
        <v>2034</v>
      </c>
      <c r="B51" s="7">
        <f>'Capital Costs'!C19</f>
        <v>0</v>
      </c>
      <c r="C51" s="18">
        <f>B51/(1.031)^(A51-Overview!$B$22)</f>
        <v>0</v>
      </c>
    </row>
    <row r="52" spans="1:4" x14ac:dyDescent="0.25">
      <c r="A52" s="121">
        <f t="shared" si="2"/>
        <v>2035</v>
      </c>
      <c r="B52" s="7">
        <f>'Capital Costs'!C20</f>
        <v>0</v>
      </c>
      <c r="C52" s="18">
        <f>B52/(1.031)^(A52-Overview!$B$22)</f>
        <v>0</v>
      </c>
    </row>
    <row r="53" spans="1:4" x14ac:dyDescent="0.25">
      <c r="A53" s="121">
        <f t="shared" si="2"/>
        <v>2036</v>
      </c>
      <c r="B53" s="7">
        <f>'Capital Costs'!C21</f>
        <v>0</v>
      </c>
      <c r="C53" s="18">
        <f>B53/(1.031)^(A53-Overview!$B$22)</f>
        <v>0</v>
      </c>
    </row>
    <row r="54" spans="1:4" x14ac:dyDescent="0.25">
      <c r="A54" s="121">
        <f t="shared" si="2"/>
        <v>2037</v>
      </c>
      <c r="B54" s="7">
        <f>'Capital Costs'!C22</f>
        <v>0</v>
      </c>
      <c r="C54" s="18">
        <f>B54/(1.031)^(A54-Overview!$B$22)</f>
        <v>0</v>
      </c>
    </row>
    <row r="55" spans="1:4" x14ac:dyDescent="0.25">
      <c r="A55" s="121">
        <f t="shared" si="2"/>
        <v>2038</v>
      </c>
      <c r="B55" s="7">
        <f>'Capital Costs'!C23</f>
        <v>0</v>
      </c>
      <c r="C55" s="18">
        <f>B55/(1.031)^(A55-Overview!$B$22)</f>
        <v>0</v>
      </c>
    </row>
    <row r="56" spans="1:4" x14ac:dyDescent="0.25">
      <c r="A56" s="25" t="s">
        <v>377</v>
      </c>
      <c r="B56" s="169">
        <f>SUM(B41:B55)</f>
        <v>18220992</v>
      </c>
      <c r="C56" s="171">
        <f>SUM(C41:C55)+'Capital Costs'!A5</f>
        <v>16207444.285186227</v>
      </c>
      <c r="D56" s="36"/>
    </row>
    <row r="57" spans="1:4" x14ac:dyDescent="0.25">
      <c r="C57" s="36"/>
      <c r="D57" s="36"/>
    </row>
    <row r="58" spans="1:4" x14ac:dyDescent="0.25">
      <c r="C58" s="36"/>
      <c r="D58" s="36"/>
    </row>
    <row r="59" spans="1:4" x14ac:dyDescent="0.25">
      <c r="C59" s="36"/>
      <c r="D59" s="36"/>
    </row>
    <row r="60" spans="1:4" x14ac:dyDescent="0.25">
      <c r="C60" s="36"/>
      <c r="D60" s="36"/>
    </row>
    <row r="61" spans="1:4" x14ac:dyDescent="0.25">
      <c r="C61" s="36"/>
      <c r="D61" s="36"/>
    </row>
    <row r="62" spans="1:4" x14ac:dyDescent="0.25">
      <c r="C62" s="36"/>
      <c r="D62" s="36"/>
    </row>
    <row r="63" spans="1:4" x14ac:dyDescent="0.25">
      <c r="D63" s="36"/>
    </row>
    <row r="65" spans="3:3" x14ac:dyDescent="0.25">
      <c r="C65" s="2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9DC5-C9C2-4023-B877-38772BB6BEA7}">
  <sheetPr>
    <tabColor theme="9" tint="0.39997558519241921"/>
  </sheetPr>
  <dimension ref="A1:E11"/>
  <sheetViews>
    <sheetView workbookViewId="0"/>
  </sheetViews>
  <sheetFormatPr defaultColWidth="8.7109375" defaultRowHeight="15" x14ac:dyDescent="0.25"/>
  <cols>
    <col min="1" max="1" width="56.28515625" style="5" customWidth="1"/>
    <col min="2" max="16384" width="8.7109375" style="5"/>
  </cols>
  <sheetData>
    <row r="1" spans="1:5" ht="20.25" thickBot="1" x14ac:dyDescent="0.35">
      <c r="A1" s="95" t="s">
        <v>28</v>
      </c>
    </row>
    <row r="2" spans="1:5" ht="15.75" thickTop="1" x14ac:dyDescent="0.25">
      <c r="A2" s="151" t="s">
        <v>29</v>
      </c>
      <c r="B2" s="151"/>
      <c r="C2" s="151"/>
      <c r="D2" s="151"/>
      <c r="E2" s="151"/>
    </row>
    <row r="3" spans="1:5" x14ac:dyDescent="0.25">
      <c r="A3" s="5" t="s">
        <v>30</v>
      </c>
    </row>
    <row r="4" spans="1:5" x14ac:dyDescent="0.25">
      <c r="A4" s="96" t="s">
        <v>31</v>
      </c>
    </row>
    <row r="5" spans="1:5" x14ac:dyDescent="0.25">
      <c r="A5" s="99" t="s">
        <v>32</v>
      </c>
      <c r="B5" s="100" t="s">
        <v>33</v>
      </c>
    </row>
    <row r="6" spans="1:5" x14ac:dyDescent="0.25">
      <c r="A6" s="42" t="s">
        <v>25</v>
      </c>
      <c r="B6" s="97">
        <f>Overview!B22</f>
        <v>2022</v>
      </c>
    </row>
    <row r="7" spans="1:5" x14ac:dyDescent="0.25">
      <c r="A7" s="42" t="s">
        <v>34</v>
      </c>
      <c r="B7" s="23">
        <v>2024</v>
      </c>
      <c r="C7" s="5" t="s">
        <v>35</v>
      </c>
    </row>
    <row r="8" spans="1:5" x14ac:dyDescent="0.25">
      <c r="A8" s="42" t="s">
        <v>36</v>
      </c>
      <c r="B8" s="23">
        <v>4</v>
      </c>
      <c r="C8" s="5" t="s">
        <v>37</v>
      </c>
    </row>
    <row r="9" spans="1:5" x14ac:dyDescent="0.25">
      <c r="A9" s="42" t="s">
        <v>38</v>
      </c>
      <c r="B9" s="97">
        <f>B7+B8</f>
        <v>2028</v>
      </c>
    </row>
    <row r="10" spans="1:5" x14ac:dyDescent="0.25">
      <c r="A10" s="42" t="s">
        <v>39</v>
      </c>
      <c r="B10" s="23">
        <v>20</v>
      </c>
      <c r="C10" s="5" t="s">
        <v>40</v>
      </c>
    </row>
    <row r="11" spans="1:5" x14ac:dyDescent="0.25">
      <c r="A11" s="42" t="s">
        <v>41</v>
      </c>
      <c r="B11" s="98">
        <f>B7+B8+B10-1</f>
        <v>2047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6FF2-EC53-4111-9343-1323F6427D32}">
  <sheetPr>
    <tabColor theme="0" tint="-0.249977111117893"/>
  </sheetPr>
  <dimension ref="A1:C8"/>
  <sheetViews>
    <sheetView tabSelected="1" workbookViewId="0">
      <selection activeCell="N37" sqref="N37"/>
    </sheetView>
  </sheetViews>
  <sheetFormatPr defaultColWidth="8.7109375" defaultRowHeight="15" x14ac:dyDescent="0.25"/>
  <cols>
    <col min="1" max="1" width="41.28515625" style="5" customWidth="1"/>
    <col min="2" max="2" width="31.42578125" style="5" customWidth="1"/>
    <col min="3" max="16384" width="8.7109375" style="5"/>
  </cols>
  <sheetData>
    <row r="1" spans="1:3" ht="20.25" thickBot="1" x14ac:dyDescent="0.35">
      <c r="A1" s="95" t="s">
        <v>590</v>
      </c>
    </row>
    <row r="2" spans="1:3" ht="19.5" thickTop="1" x14ac:dyDescent="0.25">
      <c r="A2" s="103" t="s">
        <v>30</v>
      </c>
    </row>
    <row r="3" spans="1:3" x14ac:dyDescent="0.25">
      <c r="A3" s="96" t="s">
        <v>591</v>
      </c>
    </row>
    <row r="4" spans="1:3" x14ac:dyDescent="0.25">
      <c r="A4" s="105" t="s">
        <v>62</v>
      </c>
      <c r="B4" s="105" t="s">
        <v>33</v>
      </c>
    </row>
    <row r="5" spans="1:3" x14ac:dyDescent="0.25">
      <c r="A5" s="97" t="s">
        <v>584</v>
      </c>
      <c r="B5" s="104">
        <f>Summary!Q37</f>
        <v>58369882.06842643</v>
      </c>
    </row>
    <row r="6" spans="1:3" x14ac:dyDescent="0.25">
      <c r="A6" s="97" t="s">
        <v>592</v>
      </c>
      <c r="B6" s="104">
        <f>Summary!C56</f>
        <v>16207444.285186227</v>
      </c>
    </row>
    <row r="7" spans="1:3" x14ac:dyDescent="0.25">
      <c r="A7" s="97" t="s">
        <v>593</v>
      </c>
      <c r="B7" s="104">
        <f>B5-B6</f>
        <v>42162437.783240199</v>
      </c>
    </row>
    <row r="8" spans="1:3" x14ac:dyDescent="0.25">
      <c r="A8" s="97" t="s">
        <v>594</v>
      </c>
      <c r="B8" s="144">
        <f>IFERROR(B5/B6, "Enter Costs in 'Capital Cost' sheet")</f>
        <v>3.6014241999756313</v>
      </c>
      <c r="C8" s="5" t="s">
        <v>595</v>
      </c>
    </row>
  </sheetData>
  <conditionalFormatting sqref="A4:B4">
    <cfRule type="expression" dxfId="0" priority="1">
      <formula>ISNUMBER(SEARCH("_sns",A$4))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762AA-A4A0-4AEE-A83B-E1DACDC73A36}">
  <sheetPr>
    <tabColor theme="0" tint="-0.249977111117893"/>
  </sheetPr>
  <dimension ref="A1:F242"/>
  <sheetViews>
    <sheetView topLeftCell="A21" workbookViewId="0"/>
  </sheetViews>
  <sheetFormatPr defaultRowHeight="15" x14ac:dyDescent="0.25"/>
  <cols>
    <col min="1" max="1" width="48.85546875" customWidth="1"/>
    <col min="2" max="2" width="27.28515625" customWidth="1"/>
    <col min="3" max="3" width="22.5703125" customWidth="1"/>
    <col min="4" max="4" width="19" customWidth="1"/>
    <col min="5" max="5" width="13.5703125" customWidth="1"/>
    <col min="6" max="6" width="12" customWidth="1"/>
  </cols>
  <sheetData>
    <row r="1" spans="1:6" ht="21" x14ac:dyDescent="0.35">
      <c r="A1" s="55" t="s">
        <v>42</v>
      </c>
      <c r="B1" s="56"/>
      <c r="C1" s="56"/>
      <c r="D1" s="56"/>
      <c r="E1" s="70"/>
      <c r="F1" s="70"/>
    </row>
    <row r="2" spans="1:6" x14ac:dyDescent="0.25">
      <c r="A2" s="151" t="s">
        <v>43</v>
      </c>
      <c r="B2" s="151"/>
      <c r="C2" s="151"/>
      <c r="D2" s="151"/>
      <c r="E2" s="151"/>
      <c r="F2" s="59"/>
    </row>
    <row r="3" spans="1:6" x14ac:dyDescent="0.25">
      <c r="A3" s="60" t="s">
        <v>44</v>
      </c>
      <c r="F3" s="59"/>
    </row>
    <row r="4" spans="1:6" x14ac:dyDescent="0.25">
      <c r="A4" s="61" t="s">
        <v>30</v>
      </c>
      <c r="F4" s="59"/>
    </row>
    <row r="5" spans="1:6" x14ac:dyDescent="0.25">
      <c r="A5" s="62" t="s">
        <v>45</v>
      </c>
      <c r="B5" s="63"/>
      <c r="C5" s="63"/>
      <c r="D5" s="63"/>
      <c r="E5" s="63"/>
      <c r="F5" s="59"/>
    </row>
    <row r="6" spans="1:6" ht="17.25" customHeight="1" x14ac:dyDescent="0.25">
      <c r="A6" s="65" t="s">
        <v>46</v>
      </c>
      <c r="B6" s="65" t="s">
        <v>47</v>
      </c>
      <c r="C6" s="63"/>
      <c r="D6" s="63"/>
      <c r="E6" s="63"/>
      <c r="F6" s="59"/>
    </row>
    <row r="7" spans="1:6" x14ac:dyDescent="0.25">
      <c r="A7" s="66" t="s">
        <v>48</v>
      </c>
      <c r="B7" s="67">
        <v>5000</v>
      </c>
      <c r="C7" s="63"/>
      <c r="D7" s="63"/>
      <c r="E7" s="63"/>
      <c r="F7" s="59"/>
    </row>
    <row r="8" spans="1:6" x14ac:dyDescent="0.25">
      <c r="A8" s="66" t="s">
        <v>49</v>
      </c>
      <c r="B8" s="67">
        <v>111700</v>
      </c>
      <c r="C8" s="63"/>
      <c r="D8" s="63"/>
      <c r="E8" s="63"/>
      <c r="F8" s="59"/>
    </row>
    <row r="9" spans="1:6" x14ac:dyDescent="0.25">
      <c r="A9" s="66" t="s">
        <v>50</v>
      </c>
      <c r="B9" s="67">
        <v>233800</v>
      </c>
      <c r="C9" s="63"/>
      <c r="D9" s="63"/>
      <c r="E9" s="63"/>
      <c r="F9" s="59"/>
    </row>
    <row r="10" spans="1:6" x14ac:dyDescent="0.25">
      <c r="A10" s="66" t="s">
        <v>51</v>
      </c>
      <c r="B10" s="67">
        <v>1188200</v>
      </c>
      <c r="C10" s="63"/>
      <c r="D10" s="63"/>
      <c r="E10" s="63"/>
      <c r="F10" s="59"/>
    </row>
    <row r="11" spans="1:6" x14ac:dyDescent="0.25">
      <c r="A11" s="66" t="s">
        <v>52</v>
      </c>
      <c r="B11" s="67">
        <v>12500000</v>
      </c>
      <c r="C11" s="63"/>
      <c r="D11" s="63"/>
      <c r="E11" s="63"/>
      <c r="F11" s="59"/>
    </row>
    <row r="12" spans="1:6" x14ac:dyDescent="0.25">
      <c r="A12" s="66" t="s">
        <v>53</v>
      </c>
      <c r="B12" s="67">
        <v>217600</v>
      </c>
      <c r="C12" s="63"/>
      <c r="D12" s="63"/>
      <c r="E12" s="63"/>
      <c r="F12" s="59"/>
    </row>
    <row r="13" spans="1:6" x14ac:dyDescent="0.25">
      <c r="A13" s="62" t="s">
        <v>54</v>
      </c>
      <c r="B13" s="63"/>
      <c r="C13" s="63"/>
      <c r="D13" s="63"/>
      <c r="E13" s="63"/>
      <c r="F13" s="59"/>
    </row>
    <row r="14" spans="1:6" x14ac:dyDescent="0.25">
      <c r="A14" s="65" t="s">
        <v>55</v>
      </c>
      <c r="B14" s="65" t="s">
        <v>47</v>
      </c>
      <c r="C14" s="63"/>
      <c r="D14" s="63"/>
      <c r="E14" s="63"/>
      <c r="F14" s="59"/>
    </row>
    <row r="15" spans="1:6" x14ac:dyDescent="0.25">
      <c r="A15" s="66" t="s">
        <v>56</v>
      </c>
      <c r="B15" s="67">
        <v>9100</v>
      </c>
      <c r="C15" s="63"/>
      <c r="D15" s="63"/>
      <c r="E15" s="63"/>
      <c r="F15" s="59"/>
    </row>
    <row r="16" spans="1:6" x14ac:dyDescent="0.25">
      <c r="A16" s="66" t="s">
        <v>57</v>
      </c>
      <c r="B16" s="67">
        <v>313000</v>
      </c>
      <c r="C16" s="63"/>
      <c r="D16" s="63"/>
      <c r="E16" s="63"/>
      <c r="F16" s="59"/>
    </row>
    <row r="17" spans="1:6" x14ac:dyDescent="0.25">
      <c r="A17" s="66" t="s">
        <v>58</v>
      </c>
      <c r="B17" s="67">
        <v>14022900</v>
      </c>
      <c r="C17" s="63"/>
      <c r="D17" s="63"/>
      <c r="E17" s="63"/>
      <c r="F17" s="59"/>
    </row>
    <row r="18" spans="1:6" x14ac:dyDescent="0.25">
      <c r="A18" s="64" t="s">
        <v>30</v>
      </c>
      <c r="B18" s="63"/>
      <c r="C18" s="63"/>
      <c r="D18" s="63"/>
      <c r="E18" s="63"/>
      <c r="F18" s="59"/>
    </row>
    <row r="19" spans="1:6" x14ac:dyDescent="0.25">
      <c r="A19" s="62" t="s">
        <v>59</v>
      </c>
      <c r="B19" s="63"/>
      <c r="C19" s="63"/>
      <c r="D19" s="63"/>
      <c r="E19" s="63"/>
      <c r="F19" s="59"/>
    </row>
    <row r="20" spans="1:6" ht="15" customHeight="1" x14ac:dyDescent="0.25">
      <c r="A20" s="315" t="s">
        <v>60</v>
      </c>
      <c r="B20" s="315"/>
      <c r="C20" s="63"/>
      <c r="D20" s="63"/>
      <c r="E20" s="63"/>
      <c r="F20" s="59"/>
    </row>
    <row r="21" spans="1:6" x14ac:dyDescent="0.25">
      <c r="A21" s="315" t="s">
        <v>61</v>
      </c>
      <c r="B21" s="315"/>
      <c r="C21" s="63"/>
      <c r="D21" s="63"/>
      <c r="E21" s="63"/>
      <c r="F21" s="59"/>
    </row>
    <row r="22" spans="1:6" x14ac:dyDescent="0.25">
      <c r="A22" s="65" t="s">
        <v>62</v>
      </c>
      <c r="B22" s="65" t="s">
        <v>63</v>
      </c>
      <c r="C22" s="63"/>
      <c r="D22" s="63"/>
      <c r="E22" s="63"/>
      <c r="F22" s="59"/>
    </row>
    <row r="23" spans="1:6" x14ac:dyDescent="0.25">
      <c r="A23" s="66" t="s">
        <v>64</v>
      </c>
      <c r="B23" s="68"/>
      <c r="C23" s="63"/>
      <c r="D23" s="63"/>
      <c r="E23" s="63"/>
      <c r="F23" s="59"/>
    </row>
    <row r="24" spans="1:6" ht="18" x14ac:dyDescent="0.25">
      <c r="A24" s="66" t="s">
        <v>65</v>
      </c>
      <c r="B24" s="69">
        <v>17.899999999999999</v>
      </c>
      <c r="C24" s="63"/>
      <c r="D24" s="63"/>
      <c r="E24" s="63"/>
      <c r="F24" s="59"/>
    </row>
    <row r="25" spans="1:6" ht="18" x14ac:dyDescent="0.25">
      <c r="A25" s="66" t="s">
        <v>66</v>
      </c>
      <c r="B25" s="69">
        <v>32.299999999999997</v>
      </c>
      <c r="C25" s="63"/>
      <c r="D25" s="63"/>
      <c r="E25" s="63"/>
      <c r="F25" s="59"/>
    </row>
    <row r="26" spans="1:6" ht="18" x14ac:dyDescent="0.25">
      <c r="A26" s="66" t="s">
        <v>67</v>
      </c>
      <c r="B26" s="69">
        <v>19.600000000000001</v>
      </c>
      <c r="C26" s="63"/>
      <c r="D26" s="63"/>
      <c r="E26" s="63"/>
      <c r="F26" s="59"/>
    </row>
    <row r="27" spans="1:6" x14ac:dyDescent="0.25">
      <c r="A27" s="66"/>
      <c r="B27" s="69"/>
      <c r="C27" s="63"/>
      <c r="D27" s="63"/>
      <c r="E27" s="63"/>
      <c r="F27" s="59"/>
    </row>
    <row r="28" spans="1:6" ht="33" x14ac:dyDescent="0.25">
      <c r="A28" s="66" t="s">
        <v>68</v>
      </c>
      <c r="B28" s="69">
        <v>35.799999999999997</v>
      </c>
      <c r="C28" s="63"/>
      <c r="D28" s="63"/>
      <c r="E28" s="63"/>
      <c r="F28" s="59"/>
    </row>
    <row r="29" spans="1:6" x14ac:dyDescent="0.25">
      <c r="A29" s="68"/>
      <c r="B29" s="69"/>
      <c r="C29" s="63"/>
      <c r="D29" s="63"/>
      <c r="E29" s="63"/>
      <c r="F29" s="59"/>
    </row>
    <row r="30" spans="1:6" ht="18" x14ac:dyDescent="0.25">
      <c r="A30" s="66" t="s">
        <v>69</v>
      </c>
      <c r="B30" s="69"/>
      <c r="C30" s="63"/>
      <c r="D30" s="63"/>
      <c r="E30" s="63"/>
      <c r="F30" s="59"/>
    </row>
    <row r="31" spans="1:6" x14ac:dyDescent="0.25">
      <c r="A31" s="66" t="s">
        <v>70</v>
      </c>
      <c r="B31" s="69">
        <v>33.5</v>
      </c>
      <c r="C31" s="63"/>
      <c r="D31" s="63"/>
      <c r="E31" s="63"/>
      <c r="F31" s="59"/>
    </row>
    <row r="32" spans="1:6" x14ac:dyDescent="0.25">
      <c r="A32" s="66" t="s">
        <v>71</v>
      </c>
      <c r="B32" s="69">
        <v>36.5</v>
      </c>
      <c r="C32" s="63"/>
      <c r="D32" s="63"/>
      <c r="E32" s="63"/>
      <c r="F32" s="59"/>
    </row>
    <row r="33" spans="1:6" x14ac:dyDescent="0.25">
      <c r="A33" s="66" t="s">
        <v>72</v>
      </c>
      <c r="B33" s="69">
        <v>63.3</v>
      </c>
      <c r="C33" s="63"/>
      <c r="D33" s="63"/>
      <c r="E33" s="63"/>
      <c r="F33" s="59"/>
    </row>
    <row r="34" spans="1:6" x14ac:dyDescent="0.25">
      <c r="A34" s="66" t="s">
        <v>73</v>
      </c>
      <c r="B34" s="69">
        <v>53.5</v>
      </c>
      <c r="C34" s="63"/>
      <c r="D34" s="63"/>
      <c r="E34" s="63"/>
      <c r="F34" s="59"/>
    </row>
    <row r="35" spans="1:6" x14ac:dyDescent="0.25">
      <c r="A35" s="72"/>
      <c r="B35" s="73"/>
      <c r="C35" s="63"/>
      <c r="D35" s="63"/>
      <c r="E35" s="63"/>
      <c r="F35" s="59"/>
    </row>
    <row r="36" spans="1:6" ht="83.25" customHeight="1" x14ac:dyDescent="0.25">
      <c r="A36" s="316" t="s">
        <v>74</v>
      </c>
      <c r="B36" s="317"/>
      <c r="C36" s="63"/>
      <c r="D36" s="63"/>
      <c r="E36" s="63"/>
      <c r="F36" s="59"/>
    </row>
    <row r="37" spans="1:6" ht="54" customHeight="1" x14ac:dyDescent="0.25">
      <c r="A37" s="316" t="s">
        <v>75</v>
      </c>
      <c r="B37" s="317"/>
      <c r="C37" s="63"/>
      <c r="D37" s="63"/>
      <c r="E37" s="63"/>
      <c r="F37" s="59"/>
    </row>
    <row r="38" spans="1:6" ht="58.5" customHeight="1" x14ac:dyDescent="0.25">
      <c r="A38" s="316" t="s">
        <v>76</v>
      </c>
      <c r="B38" s="317"/>
      <c r="C38" s="63"/>
      <c r="D38" s="63"/>
      <c r="E38" s="63"/>
      <c r="F38" s="59"/>
    </row>
    <row r="39" spans="1:6" ht="25.5" customHeight="1" x14ac:dyDescent="0.25">
      <c r="A39" s="320" t="s">
        <v>77</v>
      </c>
      <c r="B39" s="321"/>
      <c r="C39" s="63"/>
      <c r="D39" s="63"/>
      <c r="E39" s="63"/>
      <c r="F39" s="59"/>
    </row>
    <row r="40" spans="1:6" ht="23.25" customHeight="1" x14ac:dyDescent="0.25">
      <c r="A40" s="322" t="s">
        <v>78</v>
      </c>
      <c r="B40" s="323"/>
      <c r="C40" s="63"/>
      <c r="D40" s="63"/>
      <c r="E40" s="63"/>
      <c r="F40" s="59"/>
    </row>
    <row r="41" spans="1:6" x14ac:dyDescent="0.25">
      <c r="A41" s="5" t="s">
        <v>30</v>
      </c>
      <c r="B41" s="63"/>
      <c r="C41" s="63"/>
      <c r="D41" s="63"/>
      <c r="E41" s="63"/>
      <c r="F41" s="59"/>
    </row>
    <row r="42" spans="1:6" x14ac:dyDescent="0.25">
      <c r="A42" s="62" t="s">
        <v>79</v>
      </c>
      <c r="B42" s="63"/>
      <c r="C42" s="63"/>
      <c r="D42" s="63"/>
      <c r="E42" s="63"/>
      <c r="F42" s="59"/>
    </row>
    <row r="43" spans="1:6" x14ac:dyDescent="0.25">
      <c r="A43" s="74" t="s">
        <v>80</v>
      </c>
      <c r="B43" s="75" t="s">
        <v>81</v>
      </c>
      <c r="C43" s="63"/>
      <c r="D43" s="63"/>
      <c r="E43" s="63"/>
      <c r="F43" s="59"/>
    </row>
    <row r="44" spans="1:6" ht="18" x14ac:dyDescent="0.25">
      <c r="A44" s="66" t="s">
        <v>82</v>
      </c>
      <c r="B44" s="76">
        <v>1.48</v>
      </c>
      <c r="C44" s="63"/>
      <c r="D44" s="63"/>
      <c r="E44" s="63"/>
      <c r="F44" s="59"/>
    </row>
    <row r="45" spans="1:6" x14ac:dyDescent="0.25">
      <c r="A45" s="66" t="s">
        <v>83</v>
      </c>
      <c r="B45" s="76">
        <v>1.58</v>
      </c>
      <c r="C45" s="63"/>
      <c r="D45" s="63"/>
      <c r="E45" s="63"/>
      <c r="F45" s="59"/>
    </row>
    <row r="46" spans="1:6" x14ac:dyDescent="0.25">
      <c r="A46" s="66" t="s">
        <v>84</v>
      </c>
      <c r="B46" s="76">
        <v>2.02</v>
      </c>
      <c r="C46" s="63"/>
      <c r="D46" s="63"/>
      <c r="E46" s="63"/>
      <c r="F46" s="59"/>
    </row>
    <row r="47" spans="1:6" x14ac:dyDescent="0.25">
      <c r="A47" s="66" t="s">
        <v>85</v>
      </c>
      <c r="B47" s="76">
        <v>1.67</v>
      </c>
      <c r="C47" s="63"/>
      <c r="D47" s="63"/>
      <c r="E47" s="63"/>
      <c r="F47" s="59"/>
    </row>
    <row r="48" spans="1:6" x14ac:dyDescent="0.25">
      <c r="A48" s="64"/>
      <c r="B48" s="71"/>
      <c r="C48" s="63"/>
      <c r="D48" s="63"/>
      <c r="E48" s="63"/>
      <c r="F48" s="59"/>
    </row>
    <row r="49" spans="1:6" ht="45" customHeight="1" x14ac:dyDescent="0.25">
      <c r="A49" s="324" t="s">
        <v>86</v>
      </c>
      <c r="B49" s="325"/>
      <c r="C49" s="63"/>
      <c r="D49" s="63"/>
      <c r="E49" s="63"/>
      <c r="F49" s="59"/>
    </row>
    <row r="50" spans="1:6" x14ac:dyDescent="0.25">
      <c r="A50" s="5" t="s">
        <v>30</v>
      </c>
      <c r="B50" s="63"/>
      <c r="C50" s="63"/>
      <c r="D50" s="63"/>
      <c r="E50" s="63"/>
      <c r="F50" s="59"/>
    </row>
    <row r="51" spans="1:6" x14ac:dyDescent="0.25">
      <c r="A51" s="62" t="s">
        <v>87</v>
      </c>
      <c r="B51" s="63"/>
      <c r="C51" s="63"/>
      <c r="D51" s="63"/>
      <c r="E51" s="63"/>
      <c r="F51" s="59"/>
    </row>
    <row r="52" spans="1:6" ht="30" customHeight="1" x14ac:dyDescent="0.25">
      <c r="A52" s="74" t="s">
        <v>80</v>
      </c>
      <c r="B52" s="75" t="s">
        <v>88</v>
      </c>
      <c r="C52" s="63"/>
      <c r="D52" s="63"/>
      <c r="E52" s="63"/>
      <c r="F52" s="59"/>
    </row>
    <row r="53" spans="1:6" ht="18" x14ac:dyDescent="0.25">
      <c r="A53" s="66" t="s">
        <v>89</v>
      </c>
      <c r="B53" s="77">
        <v>0.52</v>
      </c>
      <c r="C53" s="63"/>
      <c r="D53" s="63"/>
      <c r="E53" s="63"/>
      <c r="F53" s="59"/>
    </row>
    <row r="54" spans="1:6" ht="18" x14ac:dyDescent="0.25">
      <c r="A54" s="66" t="s">
        <v>90</v>
      </c>
      <c r="B54" s="77">
        <v>1.32</v>
      </c>
      <c r="C54" s="63"/>
      <c r="D54" s="63"/>
      <c r="E54" s="63"/>
      <c r="F54" s="59"/>
    </row>
    <row r="55" spans="1:6" x14ac:dyDescent="0.25">
      <c r="A55" s="64"/>
      <c r="B55" s="71"/>
      <c r="C55" s="63"/>
      <c r="D55" s="63"/>
      <c r="E55" s="63"/>
      <c r="F55" s="59"/>
    </row>
    <row r="56" spans="1:6" ht="68.25" customHeight="1" x14ac:dyDescent="0.25">
      <c r="A56" s="316" t="s">
        <v>91</v>
      </c>
      <c r="B56" s="317"/>
      <c r="C56" s="63"/>
      <c r="D56" s="63"/>
      <c r="E56" s="63"/>
      <c r="F56" s="59"/>
    </row>
    <row r="57" spans="1:6" ht="72" customHeight="1" x14ac:dyDescent="0.25">
      <c r="A57" s="324" t="s">
        <v>92</v>
      </c>
      <c r="B57" s="325"/>
      <c r="C57" s="63"/>
      <c r="D57" s="63"/>
      <c r="E57" s="63"/>
      <c r="F57" s="59"/>
    </row>
    <row r="58" spans="1:6" x14ac:dyDescent="0.25">
      <c r="A58" s="5" t="s">
        <v>30</v>
      </c>
      <c r="B58" s="63"/>
      <c r="C58" s="63"/>
      <c r="D58" s="63"/>
      <c r="E58" s="63"/>
      <c r="F58" s="59"/>
    </row>
    <row r="59" spans="1:6" x14ac:dyDescent="0.25">
      <c r="A59" s="62" t="s">
        <v>93</v>
      </c>
      <c r="B59" s="63"/>
      <c r="C59" s="63"/>
      <c r="D59" s="63"/>
      <c r="E59" s="63"/>
      <c r="F59" s="59"/>
    </row>
    <row r="60" spans="1:6" x14ac:dyDescent="0.25">
      <c r="A60" s="78"/>
      <c r="B60" s="334" t="s">
        <v>94</v>
      </c>
      <c r="C60" s="335"/>
      <c r="D60" s="336"/>
      <c r="E60" s="63"/>
      <c r="F60" s="59"/>
    </row>
    <row r="61" spans="1:6" ht="18" x14ac:dyDescent="0.25">
      <c r="A61" s="78" t="s">
        <v>95</v>
      </c>
      <c r="B61" s="78" t="s">
        <v>96</v>
      </c>
      <c r="C61" s="78" t="s">
        <v>97</v>
      </c>
      <c r="D61" s="78" t="s">
        <v>98</v>
      </c>
      <c r="E61" s="63"/>
      <c r="F61" s="59"/>
    </row>
    <row r="62" spans="1:6" x14ac:dyDescent="0.25">
      <c r="A62" s="124" t="s">
        <v>99</v>
      </c>
      <c r="B62" s="124"/>
      <c r="C62" s="124"/>
      <c r="D62" s="125"/>
      <c r="E62" s="63"/>
      <c r="F62" s="59"/>
    </row>
    <row r="63" spans="1:6" x14ac:dyDescent="0.25">
      <c r="A63" s="66" t="s">
        <v>100</v>
      </c>
      <c r="B63" s="122">
        <v>273</v>
      </c>
      <c r="C63" s="122">
        <v>749</v>
      </c>
      <c r="D63" s="122">
        <v>28</v>
      </c>
      <c r="E63" s="63"/>
      <c r="F63" s="59"/>
    </row>
    <row r="64" spans="1:6" x14ac:dyDescent="0.25">
      <c r="A64" s="66" t="s">
        <v>101</v>
      </c>
      <c r="B64" s="122">
        <v>299</v>
      </c>
      <c r="C64" s="122">
        <v>102</v>
      </c>
      <c r="D64" s="122">
        <v>26</v>
      </c>
      <c r="E64" s="63"/>
      <c r="F64" s="59"/>
    </row>
    <row r="65" spans="1:6" x14ac:dyDescent="0.25">
      <c r="A65" s="66" t="s">
        <v>102</v>
      </c>
      <c r="B65" s="122">
        <v>747</v>
      </c>
      <c r="C65" s="122">
        <v>102</v>
      </c>
      <c r="D65" s="122">
        <v>26</v>
      </c>
      <c r="E65" s="63"/>
      <c r="F65" s="59"/>
    </row>
    <row r="66" spans="1:6" x14ac:dyDescent="0.25">
      <c r="A66" s="66" t="s">
        <v>103</v>
      </c>
      <c r="B66" s="122">
        <v>331</v>
      </c>
      <c r="C66" s="122">
        <v>102</v>
      </c>
      <c r="D66" s="122">
        <v>26</v>
      </c>
      <c r="E66" s="63"/>
      <c r="F66" s="59"/>
    </row>
    <row r="67" spans="1:6" x14ac:dyDescent="0.25">
      <c r="A67" s="124" t="s">
        <v>104</v>
      </c>
      <c r="B67" s="124"/>
      <c r="C67" s="124"/>
      <c r="D67" s="126"/>
      <c r="E67" s="63"/>
      <c r="F67" s="59"/>
    </row>
    <row r="68" spans="1:6" x14ac:dyDescent="0.25">
      <c r="A68" s="66" t="s">
        <v>100</v>
      </c>
      <c r="B68" s="122">
        <v>799</v>
      </c>
      <c r="C68" s="122">
        <v>2202</v>
      </c>
      <c r="D68" s="122">
        <v>280</v>
      </c>
      <c r="E68" s="63"/>
      <c r="F68" s="59"/>
    </row>
    <row r="69" spans="1:6" x14ac:dyDescent="0.25">
      <c r="A69" s="66" t="s">
        <v>101</v>
      </c>
      <c r="B69" s="122">
        <v>778</v>
      </c>
      <c r="C69" s="122">
        <v>727</v>
      </c>
      <c r="D69" s="122">
        <v>218</v>
      </c>
      <c r="E69" s="63"/>
      <c r="F69" s="59"/>
    </row>
    <row r="70" spans="1:6" x14ac:dyDescent="0.25">
      <c r="A70" s="66" t="s">
        <v>102</v>
      </c>
      <c r="B70" s="122">
        <v>1226</v>
      </c>
      <c r="C70" s="122">
        <v>727</v>
      </c>
      <c r="D70" s="122">
        <v>218</v>
      </c>
      <c r="E70" s="63"/>
      <c r="F70" s="59"/>
    </row>
    <row r="71" spans="1:6" x14ac:dyDescent="0.25">
      <c r="A71" s="66" t="s">
        <v>103</v>
      </c>
      <c r="B71" s="122">
        <v>810</v>
      </c>
      <c r="C71" s="122">
        <v>727</v>
      </c>
      <c r="D71" s="122">
        <v>218</v>
      </c>
      <c r="E71" s="63"/>
      <c r="F71" s="59"/>
    </row>
    <row r="72" spans="1:6" x14ac:dyDescent="0.25">
      <c r="A72" s="124" t="s">
        <v>105</v>
      </c>
      <c r="B72" s="124"/>
      <c r="C72" s="124"/>
      <c r="D72" s="127"/>
      <c r="E72" s="63"/>
      <c r="F72" s="59"/>
    </row>
    <row r="73" spans="1:6" x14ac:dyDescent="0.25">
      <c r="A73" s="66" t="s">
        <v>106</v>
      </c>
      <c r="B73" s="69">
        <v>1.03</v>
      </c>
      <c r="C73" s="123" t="s">
        <v>107</v>
      </c>
      <c r="D73" s="123" t="s">
        <v>107</v>
      </c>
      <c r="E73" s="63"/>
      <c r="F73" s="59"/>
    </row>
    <row r="74" spans="1:6" ht="27.95" customHeight="1" x14ac:dyDescent="0.25">
      <c r="A74" s="337" t="s">
        <v>108</v>
      </c>
      <c r="B74" s="337"/>
      <c r="C74" s="337"/>
      <c r="D74" s="338"/>
      <c r="E74" s="63"/>
      <c r="F74" s="59"/>
    </row>
    <row r="75" spans="1:6" ht="57.6" customHeight="1" x14ac:dyDescent="0.25">
      <c r="A75" s="332" t="s">
        <v>109</v>
      </c>
      <c r="B75" s="332"/>
      <c r="C75" s="332"/>
      <c r="D75" s="333"/>
      <c r="E75" s="63"/>
      <c r="F75" s="59"/>
    </row>
    <row r="76" spans="1:6" x14ac:dyDescent="0.25">
      <c r="A76" s="5" t="s">
        <v>30</v>
      </c>
      <c r="B76" s="63"/>
      <c r="C76" s="63"/>
      <c r="D76" s="63"/>
      <c r="E76" s="63"/>
      <c r="F76" s="59"/>
    </row>
    <row r="77" spans="1:6" x14ac:dyDescent="0.25">
      <c r="A77" s="62" t="s">
        <v>110</v>
      </c>
      <c r="B77" s="63"/>
      <c r="C77" s="63"/>
      <c r="D77" s="63"/>
      <c r="E77" s="63"/>
      <c r="F77" s="59"/>
    </row>
    <row r="78" spans="1:6" ht="16.5" x14ac:dyDescent="0.25">
      <c r="A78" s="78" t="s">
        <v>111</v>
      </c>
      <c r="B78" s="75" t="s">
        <v>112</v>
      </c>
      <c r="C78" s="75" t="s">
        <v>113</v>
      </c>
      <c r="D78" s="75" t="s">
        <v>114</v>
      </c>
      <c r="E78" s="75" t="s">
        <v>115</v>
      </c>
      <c r="F78" s="59"/>
    </row>
    <row r="79" spans="1:6" x14ac:dyDescent="0.25">
      <c r="A79" s="66">
        <v>2023</v>
      </c>
      <c r="B79" s="67">
        <v>19800</v>
      </c>
      <c r="C79" s="67">
        <v>52900</v>
      </c>
      <c r="D79" s="67">
        <v>951000</v>
      </c>
      <c r="E79" s="67">
        <v>228.37600706009624</v>
      </c>
      <c r="F79" s="59"/>
    </row>
    <row r="80" spans="1:6" x14ac:dyDescent="0.25">
      <c r="A80" s="66">
        <v>2024</v>
      </c>
      <c r="B80" s="67">
        <v>20100</v>
      </c>
      <c r="C80" s="67">
        <v>53800</v>
      </c>
      <c r="D80" s="67">
        <v>963200</v>
      </c>
      <c r="E80" s="67">
        <v>232.85396798284322</v>
      </c>
      <c r="F80" s="59"/>
    </row>
    <row r="81" spans="1:6" x14ac:dyDescent="0.25">
      <c r="A81" s="66">
        <v>2025</v>
      </c>
      <c r="B81" s="67">
        <v>20300</v>
      </c>
      <c r="C81" s="67">
        <v>54800</v>
      </c>
      <c r="D81" s="67">
        <v>975500</v>
      </c>
      <c r="E81" s="67">
        <v>237.33192890559022</v>
      </c>
      <c r="F81" s="59"/>
    </row>
    <row r="82" spans="1:6" x14ac:dyDescent="0.25">
      <c r="A82" s="66">
        <v>2026</v>
      </c>
      <c r="B82" s="67">
        <v>20600</v>
      </c>
      <c r="C82" s="67">
        <v>56100</v>
      </c>
      <c r="D82" s="67">
        <v>993500</v>
      </c>
      <c r="E82" s="67">
        <v>240.69039959765044</v>
      </c>
      <c r="F82" s="59"/>
    </row>
    <row r="83" spans="1:6" x14ac:dyDescent="0.25">
      <c r="A83" s="66">
        <v>2027</v>
      </c>
      <c r="B83" s="67">
        <v>21000</v>
      </c>
      <c r="C83" s="67">
        <v>57400</v>
      </c>
      <c r="D83" s="67">
        <v>1011900</v>
      </c>
      <c r="E83" s="67">
        <v>245.16836052039741</v>
      </c>
      <c r="F83" s="59"/>
    </row>
    <row r="84" spans="1:6" x14ac:dyDescent="0.25">
      <c r="A84" s="66">
        <v>2028</v>
      </c>
      <c r="B84" s="67">
        <v>21300</v>
      </c>
      <c r="C84" s="67">
        <v>58700</v>
      </c>
      <c r="D84" s="67">
        <v>1030600</v>
      </c>
      <c r="E84" s="67">
        <v>249.64632144314442</v>
      </c>
      <c r="F84" s="59"/>
    </row>
    <row r="85" spans="1:6" x14ac:dyDescent="0.25">
      <c r="A85" s="66">
        <v>2029</v>
      </c>
      <c r="B85" s="67">
        <v>21700</v>
      </c>
      <c r="C85" s="67">
        <v>60100</v>
      </c>
      <c r="D85" s="67">
        <v>1049600</v>
      </c>
      <c r="E85" s="67">
        <v>253.00479213520464</v>
      </c>
      <c r="F85" s="59"/>
    </row>
    <row r="86" spans="1:6" x14ac:dyDescent="0.25">
      <c r="A86" s="66">
        <v>2030</v>
      </c>
      <c r="B86" s="67">
        <v>22000</v>
      </c>
      <c r="C86" s="67">
        <v>61500</v>
      </c>
      <c r="D86" s="67">
        <v>1069000</v>
      </c>
      <c r="E86" s="67">
        <v>257.48275305795164</v>
      </c>
      <c r="F86" s="59"/>
    </row>
    <row r="87" spans="1:6" x14ac:dyDescent="0.25">
      <c r="A87" s="66">
        <v>2031</v>
      </c>
      <c r="B87" s="67">
        <v>22000</v>
      </c>
      <c r="C87" s="67">
        <v>61500</v>
      </c>
      <c r="D87" s="67">
        <v>1069000</v>
      </c>
      <c r="E87" s="67">
        <v>261.96071398069864</v>
      </c>
      <c r="F87" s="59"/>
    </row>
    <row r="88" spans="1:6" x14ac:dyDescent="0.25">
      <c r="A88" s="66">
        <v>2032</v>
      </c>
      <c r="B88" s="67">
        <v>22000</v>
      </c>
      <c r="C88" s="67">
        <v>61500</v>
      </c>
      <c r="D88" s="67">
        <v>1069000</v>
      </c>
      <c r="E88" s="67">
        <v>265.31918467275887</v>
      </c>
      <c r="F88" s="59"/>
    </row>
    <row r="89" spans="1:6" x14ac:dyDescent="0.25">
      <c r="A89" s="66">
        <v>2033</v>
      </c>
      <c r="B89" s="67">
        <v>22000</v>
      </c>
      <c r="C89" s="67">
        <v>61500</v>
      </c>
      <c r="D89" s="67">
        <v>1069000</v>
      </c>
      <c r="E89" s="67">
        <v>269.79714559550587</v>
      </c>
      <c r="F89" s="59"/>
    </row>
    <row r="90" spans="1:6" x14ac:dyDescent="0.25">
      <c r="A90" s="66">
        <v>2034</v>
      </c>
      <c r="B90" s="67">
        <v>22000</v>
      </c>
      <c r="C90" s="67">
        <v>61500</v>
      </c>
      <c r="D90" s="67">
        <v>1069000</v>
      </c>
      <c r="E90" s="67">
        <v>274.27510651825281</v>
      </c>
      <c r="F90" s="59"/>
    </row>
    <row r="91" spans="1:6" x14ac:dyDescent="0.25">
      <c r="A91" s="66">
        <v>2035</v>
      </c>
      <c r="B91" s="67">
        <v>22000</v>
      </c>
      <c r="C91" s="67">
        <v>61500</v>
      </c>
      <c r="D91" s="67">
        <v>1069000</v>
      </c>
      <c r="E91" s="67">
        <v>277.63357721031309</v>
      </c>
      <c r="F91" s="59"/>
    </row>
    <row r="92" spans="1:6" x14ac:dyDescent="0.25">
      <c r="A92" s="66">
        <v>2036</v>
      </c>
      <c r="B92" s="67">
        <v>22000</v>
      </c>
      <c r="C92" s="67">
        <v>61500</v>
      </c>
      <c r="D92" s="67">
        <v>1069000</v>
      </c>
      <c r="E92" s="67">
        <v>282.11153813306004</v>
      </c>
      <c r="F92" s="59"/>
    </row>
    <row r="93" spans="1:6" x14ac:dyDescent="0.25">
      <c r="A93" s="66">
        <v>2037</v>
      </c>
      <c r="B93" s="67">
        <v>22000</v>
      </c>
      <c r="C93" s="67">
        <v>61500</v>
      </c>
      <c r="D93" s="67">
        <v>1069000</v>
      </c>
      <c r="E93" s="67">
        <v>286.58949905580704</v>
      </c>
      <c r="F93" s="59"/>
    </row>
    <row r="94" spans="1:6" x14ac:dyDescent="0.25">
      <c r="A94" s="66">
        <v>2038</v>
      </c>
      <c r="B94" s="67">
        <v>22000</v>
      </c>
      <c r="C94" s="67">
        <v>61500</v>
      </c>
      <c r="D94" s="67">
        <v>1069000</v>
      </c>
      <c r="E94" s="67">
        <v>289.94796974786726</v>
      </c>
      <c r="F94" s="59"/>
    </row>
    <row r="95" spans="1:6" x14ac:dyDescent="0.25">
      <c r="A95" s="66">
        <v>2039</v>
      </c>
      <c r="B95" s="67">
        <v>22000</v>
      </c>
      <c r="C95" s="67">
        <v>61500</v>
      </c>
      <c r="D95" s="67">
        <v>1069000</v>
      </c>
      <c r="E95" s="67">
        <v>294.42593067061426</v>
      </c>
      <c r="F95" s="59"/>
    </row>
    <row r="96" spans="1:6" x14ac:dyDescent="0.25">
      <c r="A96" s="66">
        <v>2040</v>
      </c>
      <c r="B96" s="67">
        <v>22000</v>
      </c>
      <c r="C96" s="67">
        <v>61500</v>
      </c>
      <c r="D96" s="67">
        <v>1069000</v>
      </c>
      <c r="E96" s="67">
        <v>298.90389159336127</v>
      </c>
      <c r="F96" s="59"/>
    </row>
    <row r="97" spans="1:6" x14ac:dyDescent="0.25">
      <c r="A97" s="66">
        <v>2041</v>
      </c>
      <c r="B97" s="67">
        <v>22000</v>
      </c>
      <c r="C97" s="67">
        <v>61500</v>
      </c>
      <c r="D97" s="67">
        <v>1069000</v>
      </c>
      <c r="E97" s="67">
        <v>303.38185251610821</v>
      </c>
      <c r="F97" s="59"/>
    </row>
    <row r="98" spans="1:6" x14ac:dyDescent="0.25">
      <c r="A98" s="66">
        <v>2042</v>
      </c>
      <c r="B98" s="67">
        <v>22000</v>
      </c>
      <c r="C98" s="67">
        <v>61500</v>
      </c>
      <c r="D98" s="67">
        <v>1069000</v>
      </c>
      <c r="E98" s="67">
        <v>307.85981343885521</v>
      </c>
      <c r="F98" s="59"/>
    </row>
    <row r="99" spans="1:6" x14ac:dyDescent="0.25">
      <c r="A99" s="66">
        <v>2043</v>
      </c>
      <c r="B99" s="67">
        <v>22000</v>
      </c>
      <c r="C99" s="67">
        <v>61500</v>
      </c>
      <c r="D99" s="67">
        <v>1069000</v>
      </c>
      <c r="E99" s="67">
        <v>312.33777436160221</v>
      </c>
      <c r="F99" s="59"/>
    </row>
    <row r="100" spans="1:6" x14ac:dyDescent="0.25">
      <c r="A100" s="66">
        <v>2044</v>
      </c>
      <c r="B100" s="67">
        <v>22000</v>
      </c>
      <c r="C100" s="67">
        <v>61500</v>
      </c>
      <c r="D100" s="67">
        <v>1069000</v>
      </c>
      <c r="E100" s="67">
        <v>316.81573528434916</v>
      </c>
      <c r="F100" s="59"/>
    </row>
    <row r="101" spans="1:6" x14ac:dyDescent="0.25">
      <c r="A101" s="66">
        <v>2045</v>
      </c>
      <c r="B101" s="67">
        <v>22000</v>
      </c>
      <c r="C101" s="67">
        <v>61500</v>
      </c>
      <c r="D101" s="67">
        <v>1069000</v>
      </c>
      <c r="E101" s="67">
        <v>321.29369620709616</v>
      </c>
      <c r="F101" s="59"/>
    </row>
    <row r="102" spans="1:6" x14ac:dyDescent="0.25">
      <c r="A102" s="66">
        <v>2046</v>
      </c>
      <c r="B102" s="67">
        <v>22000</v>
      </c>
      <c r="C102" s="67">
        <v>61500</v>
      </c>
      <c r="D102" s="67">
        <v>1069000</v>
      </c>
      <c r="E102" s="67">
        <v>325.77165712984316</v>
      </c>
      <c r="F102" s="59"/>
    </row>
    <row r="103" spans="1:6" x14ac:dyDescent="0.25">
      <c r="A103" s="66">
        <v>2047</v>
      </c>
      <c r="B103" s="67">
        <v>22000</v>
      </c>
      <c r="C103" s="67">
        <v>61500</v>
      </c>
      <c r="D103" s="67">
        <v>1069000</v>
      </c>
      <c r="E103" s="67">
        <v>331.36910828327689</v>
      </c>
      <c r="F103" s="59"/>
    </row>
    <row r="104" spans="1:6" x14ac:dyDescent="0.25">
      <c r="A104" s="66">
        <v>2048</v>
      </c>
      <c r="B104" s="67">
        <v>22000</v>
      </c>
      <c r="C104" s="67">
        <v>61500</v>
      </c>
      <c r="D104" s="67">
        <v>1069000</v>
      </c>
      <c r="E104" s="67">
        <v>335.84706920602389</v>
      </c>
      <c r="F104" s="59"/>
    </row>
    <row r="105" spans="1:6" x14ac:dyDescent="0.25">
      <c r="A105" s="66">
        <v>2049</v>
      </c>
      <c r="B105" s="67">
        <v>22000</v>
      </c>
      <c r="C105" s="67">
        <v>61500</v>
      </c>
      <c r="D105" s="67">
        <v>1069000</v>
      </c>
      <c r="E105" s="67">
        <v>340.32503012877083</v>
      </c>
      <c r="F105" s="59"/>
    </row>
    <row r="106" spans="1:6" x14ac:dyDescent="0.25">
      <c r="A106" s="66">
        <v>2050</v>
      </c>
      <c r="B106" s="67">
        <v>22000</v>
      </c>
      <c r="C106" s="67">
        <v>61500</v>
      </c>
      <c r="D106" s="67">
        <v>1069000</v>
      </c>
      <c r="E106" s="67">
        <v>344.80299105151784</v>
      </c>
      <c r="F106" s="59"/>
    </row>
    <row r="107" spans="1:6" x14ac:dyDescent="0.25">
      <c r="A107" s="66">
        <v>2051</v>
      </c>
      <c r="B107" s="67">
        <v>22000</v>
      </c>
      <c r="C107" s="67">
        <v>61500</v>
      </c>
      <c r="D107" s="67">
        <v>1069000</v>
      </c>
      <c r="E107" s="67">
        <v>349.28095197426484</v>
      </c>
      <c r="F107" s="59"/>
    </row>
    <row r="108" spans="1:6" x14ac:dyDescent="0.25">
      <c r="A108" s="66">
        <v>2052</v>
      </c>
      <c r="B108" s="67">
        <v>22000</v>
      </c>
      <c r="C108" s="67">
        <v>61500</v>
      </c>
      <c r="D108" s="67">
        <v>1069000</v>
      </c>
      <c r="E108" s="81">
        <v>352.63942266632506</v>
      </c>
      <c r="F108" s="59"/>
    </row>
    <row r="109" spans="1:6" x14ac:dyDescent="0.25">
      <c r="A109" s="66">
        <v>2053</v>
      </c>
      <c r="B109" s="67">
        <v>22000</v>
      </c>
      <c r="C109" s="67">
        <v>61500</v>
      </c>
      <c r="D109" s="67">
        <v>1069000</v>
      </c>
      <c r="E109" s="81">
        <v>357.11738358907206</v>
      </c>
      <c r="F109" s="59"/>
    </row>
    <row r="110" spans="1:6" x14ac:dyDescent="0.25">
      <c r="A110" s="79"/>
      <c r="B110" s="80"/>
      <c r="C110" s="80"/>
      <c r="D110" s="80"/>
      <c r="E110" s="81"/>
      <c r="F110" s="59"/>
    </row>
    <row r="111" spans="1:6" x14ac:dyDescent="0.25">
      <c r="A111" s="326" t="s">
        <v>116</v>
      </c>
      <c r="B111" s="327"/>
      <c r="C111" s="327"/>
      <c r="D111" s="327"/>
      <c r="E111" s="328"/>
      <c r="F111" s="59"/>
    </row>
    <row r="112" spans="1:6" ht="16.5" x14ac:dyDescent="0.25">
      <c r="A112" s="329" t="s">
        <v>117</v>
      </c>
      <c r="B112" s="330"/>
      <c r="C112" s="330"/>
      <c r="D112" s="330"/>
      <c r="E112" s="331"/>
      <c r="F112" s="59"/>
    </row>
    <row r="113" spans="1:6" x14ac:dyDescent="0.25">
      <c r="A113" s="5" t="s">
        <v>30</v>
      </c>
      <c r="B113" s="63"/>
      <c r="C113" s="63"/>
      <c r="D113" s="63"/>
      <c r="E113" s="63"/>
      <c r="F113" s="59"/>
    </row>
    <row r="114" spans="1:6" x14ac:dyDescent="0.25">
      <c r="A114" s="62" t="s">
        <v>118</v>
      </c>
      <c r="B114" s="63"/>
      <c r="C114" s="63"/>
      <c r="D114" s="63"/>
      <c r="E114" s="63"/>
      <c r="F114" s="59"/>
    </row>
    <row r="115" spans="1:6" ht="34.5" customHeight="1" x14ac:dyDescent="0.25">
      <c r="A115" s="74" t="s">
        <v>119</v>
      </c>
      <c r="B115" s="75" t="s">
        <v>120</v>
      </c>
      <c r="C115" s="63"/>
      <c r="D115" s="63"/>
      <c r="E115" s="63"/>
      <c r="F115" s="59"/>
    </row>
    <row r="116" spans="1:6" x14ac:dyDescent="0.25">
      <c r="A116" s="82">
        <v>2003</v>
      </c>
      <c r="B116" s="76">
        <v>1.53</v>
      </c>
      <c r="C116" s="63"/>
      <c r="D116" s="63"/>
      <c r="E116" s="63"/>
      <c r="F116" s="59"/>
    </row>
    <row r="117" spans="1:6" x14ac:dyDescent="0.25">
      <c r="A117" s="82">
        <v>2004</v>
      </c>
      <c r="B117" s="76">
        <v>1.49</v>
      </c>
      <c r="C117" s="63"/>
      <c r="D117" s="63"/>
      <c r="E117" s="63"/>
      <c r="F117" s="59"/>
    </row>
    <row r="118" spans="1:6" x14ac:dyDescent="0.25">
      <c r="A118" s="82">
        <v>2005</v>
      </c>
      <c r="B118" s="76">
        <v>1.45</v>
      </c>
      <c r="C118" s="63"/>
      <c r="D118" s="63"/>
      <c r="E118" s="63"/>
      <c r="F118" s="59"/>
    </row>
    <row r="119" spans="1:6" x14ac:dyDescent="0.25">
      <c r="A119" s="82">
        <v>2006</v>
      </c>
      <c r="B119" s="76">
        <v>1.4</v>
      </c>
      <c r="C119" s="63"/>
      <c r="D119" s="63"/>
      <c r="E119" s="63"/>
      <c r="F119" s="59"/>
    </row>
    <row r="120" spans="1:6" x14ac:dyDescent="0.25">
      <c r="A120" s="82">
        <v>2007</v>
      </c>
      <c r="B120" s="76">
        <v>1.37</v>
      </c>
      <c r="C120" s="63"/>
      <c r="D120" s="63"/>
      <c r="E120" s="63"/>
      <c r="F120" s="59"/>
    </row>
    <row r="121" spans="1:6" x14ac:dyDescent="0.25">
      <c r="A121" s="82">
        <v>2008</v>
      </c>
      <c r="B121" s="76">
        <v>1.34</v>
      </c>
      <c r="C121" s="63"/>
      <c r="D121" s="63"/>
      <c r="E121" s="63"/>
      <c r="F121" s="59"/>
    </row>
    <row r="122" spans="1:6" x14ac:dyDescent="0.25">
      <c r="A122" s="82">
        <v>2009</v>
      </c>
      <c r="B122" s="76">
        <v>1.33</v>
      </c>
      <c r="C122" s="63"/>
      <c r="D122" s="63"/>
      <c r="E122" s="63"/>
      <c r="F122" s="59"/>
    </row>
    <row r="123" spans="1:6" x14ac:dyDescent="0.25">
      <c r="A123" s="82">
        <v>2010</v>
      </c>
      <c r="B123" s="76">
        <v>1.32</v>
      </c>
      <c r="C123" s="63"/>
      <c r="D123" s="63"/>
      <c r="E123" s="63"/>
      <c r="F123" s="59"/>
    </row>
    <row r="124" spans="1:6" x14ac:dyDescent="0.25">
      <c r="A124" s="82">
        <v>2011</v>
      </c>
      <c r="B124" s="76">
        <v>1.29</v>
      </c>
      <c r="C124" s="63"/>
      <c r="D124" s="63"/>
      <c r="E124" s="63"/>
      <c r="F124" s="59"/>
    </row>
    <row r="125" spans="1:6" x14ac:dyDescent="0.25">
      <c r="A125" s="82">
        <v>2012</v>
      </c>
      <c r="B125" s="76">
        <v>1.27</v>
      </c>
      <c r="C125" s="63"/>
      <c r="D125" s="63"/>
      <c r="E125" s="63"/>
      <c r="F125" s="59"/>
    </row>
    <row r="126" spans="1:6" x14ac:dyDescent="0.25">
      <c r="A126" s="82">
        <v>2013</v>
      </c>
      <c r="B126" s="76">
        <v>1.24</v>
      </c>
      <c r="C126" s="63"/>
      <c r="D126" s="63"/>
      <c r="E126" s="63"/>
      <c r="F126" s="59"/>
    </row>
    <row r="127" spans="1:6" x14ac:dyDescent="0.25">
      <c r="A127" s="82">
        <v>2014</v>
      </c>
      <c r="B127" s="76">
        <v>1.22</v>
      </c>
      <c r="C127" s="63"/>
      <c r="D127" s="63"/>
      <c r="E127" s="63"/>
      <c r="F127" s="59"/>
    </row>
    <row r="128" spans="1:6" x14ac:dyDescent="0.25">
      <c r="A128" s="82">
        <v>2015</v>
      </c>
      <c r="B128" s="76">
        <v>1.21</v>
      </c>
      <c r="C128" s="63"/>
      <c r="D128" s="63"/>
      <c r="E128" s="63"/>
      <c r="F128" s="59"/>
    </row>
    <row r="129" spans="1:6" x14ac:dyDescent="0.25">
      <c r="A129" s="82">
        <v>2016</v>
      </c>
      <c r="B129" s="76">
        <v>1.2</v>
      </c>
      <c r="C129" s="63"/>
      <c r="D129" s="63"/>
      <c r="E129" s="63"/>
      <c r="F129" s="59"/>
    </row>
    <row r="130" spans="1:6" x14ac:dyDescent="0.25">
      <c r="A130" s="82">
        <v>2017</v>
      </c>
      <c r="B130" s="76">
        <v>1.18</v>
      </c>
      <c r="C130" s="63"/>
      <c r="D130" s="63"/>
      <c r="E130" s="63"/>
      <c r="F130" s="59"/>
    </row>
    <row r="131" spans="1:6" x14ac:dyDescent="0.25">
      <c r="A131" s="82">
        <v>2018</v>
      </c>
      <c r="B131" s="76">
        <v>1.1499999999999999</v>
      </c>
      <c r="C131" s="63"/>
      <c r="D131" s="63"/>
      <c r="E131" s="63"/>
      <c r="F131" s="59"/>
    </row>
    <row r="132" spans="1:6" x14ac:dyDescent="0.25">
      <c r="A132" s="82">
        <v>2019</v>
      </c>
      <c r="B132" s="76">
        <v>1.1299999999999999</v>
      </c>
      <c r="C132" s="63"/>
      <c r="D132" s="63"/>
      <c r="E132" s="63"/>
      <c r="F132" s="59"/>
    </row>
    <row r="133" spans="1:6" x14ac:dyDescent="0.25">
      <c r="A133" s="82">
        <v>2020</v>
      </c>
      <c r="B133" s="76">
        <v>1.1200000000000001</v>
      </c>
      <c r="C133" s="63"/>
      <c r="D133" s="63"/>
      <c r="E133" s="63"/>
      <c r="F133" s="59"/>
    </row>
    <row r="134" spans="1:6" x14ac:dyDescent="0.25">
      <c r="A134" s="82">
        <v>2021</v>
      </c>
      <c r="B134" s="76">
        <v>1.07</v>
      </c>
      <c r="C134" s="63"/>
      <c r="D134" s="63"/>
      <c r="E134" s="63"/>
      <c r="F134" s="59"/>
    </row>
    <row r="135" spans="1:6" x14ac:dyDescent="0.25">
      <c r="A135" s="82">
        <v>2022</v>
      </c>
      <c r="B135" s="76">
        <v>1</v>
      </c>
      <c r="C135" s="63"/>
      <c r="D135" s="63"/>
      <c r="E135" s="63"/>
      <c r="F135" s="59"/>
    </row>
    <row r="136" spans="1:6" x14ac:dyDescent="0.25">
      <c r="A136" s="5" t="s">
        <v>30</v>
      </c>
      <c r="B136" s="63"/>
      <c r="C136" s="63"/>
      <c r="D136" s="63"/>
      <c r="E136" s="63"/>
      <c r="F136" s="59"/>
    </row>
    <row r="137" spans="1:6" x14ac:dyDescent="0.25">
      <c r="A137" s="62" t="s">
        <v>121</v>
      </c>
      <c r="B137" s="63"/>
      <c r="C137" s="63"/>
      <c r="D137" s="63"/>
      <c r="E137" s="63"/>
      <c r="F137" s="59"/>
    </row>
    <row r="138" spans="1:6" ht="51.75" customHeight="1" x14ac:dyDescent="0.25">
      <c r="A138" s="74" t="s">
        <v>122</v>
      </c>
      <c r="B138" s="75" t="s">
        <v>123</v>
      </c>
      <c r="C138" s="63"/>
      <c r="D138" s="63"/>
      <c r="E138" s="63"/>
      <c r="F138" s="59"/>
    </row>
    <row r="139" spans="1:6" ht="18" x14ac:dyDescent="0.25">
      <c r="A139" s="83" t="s">
        <v>124</v>
      </c>
      <c r="B139" s="69">
        <v>0.11</v>
      </c>
      <c r="C139" s="63"/>
      <c r="D139" s="63"/>
      <c r="E139" s="63"/>
      <c r="F139" s="59"/>
    </row>
    <row r="140" spans="1:6" x14ac:dyDescent="0.25">
      <c r="A140" s="83" t="s">
        <v>125</v>
      </c>
      <c r="B140" s="69">
        <v>1.1100000000000001</v>
      </c>
      <c r="C140" s="63"/>
      <c r="D140" s="63"/>
      <c r="E140" s="63"/>
      <c r="F140" s="59"/>
    </row>
    <row r="141" spans="1:6" x14ac:dyDescent="0.25">
      <c r="A141" s="83" t="s">
        <v>126</v>
      </c>
      <c r="B141" s="69">
        <v>0.09</v>
      </c>
      <c r="C141" s="63"/>
      <c r="D141" s="63"/>
      <c r="E141" s="63"/>
      <c r="F141" s="59"/>
    </row>
    <row r="142" spans="1:6" ht="30" customHeight="1" x14ac:dyDescent="0.25">
      <c r="A142" s="84" t="s">
        <v>127</v>
      </c>
      <c r="B142" s="85">
        <v>1E-3</v>
      </c>
      <c r="C142" s="63"/>
      <c r="D142" s="63"/>
      <c r="E142" s="63"/>
      <c r="F142" s="59"/>
    </row>
    <row r="143" spans="1:6" x14ac:dyDescent="0.25">
      <c r="A143" s="5" t="s">
        <v>30</v>
      </c>
      <c r="B143" s="4"/>
      <c r="C143" s="63"/>
      <c r="D143" s="63"/>
      <c r="E143" s="63"/>
      <c r="F143" s="59"/>
    </row>
    <row r="144" spans="1:6" ht="33" x14ac:dyDescent="0.25">
      <c r="A144" s="74" t="s">
        <v>122</v>
      </c>
      <c r="B144" s="75" t="s">
        <v>128</v>
      </c>
      <c r="C144" s="63"/>
      <c r="D144" s="63"/>
      <c r="E144" s="63"/>
      <c r="F144" s="59"/>
    </row>
    <row r="145" spans="1:6" ht="34.5" customHeight="1" x14ac:dyDescent="0.25">
      <c r="A145" s="84" t="s">
        <v>129</v>
      </c>
      <c r="B145" s="69">
        <v>0.19</v>
      </c>
      <c r="C145" s="63"/>
      <c r="D145" s="63"/>
      <c r="E145" s="63"/>
      <c r="F145" s="59"/>
    </row>
    <row r="146" spans="1:6" ht="35.25" customHeight="1" x14ac:dyDescent="0.25">
      <c r="A146" s="84" t="s">
        <v>130</v>
      </c>
      <c r="B146" s="69">
        <v>0.51</v>
      </c>
      <c r="C146" s="63"/>
      <c r="D146" s="63"/>
      <c r="E146" s="63"/>
      <c r="F146" s="59"/>
    </row>
    <row r="147" spans="1:6" x14ac:dyDescent="0.25">
      <c r="A147" s="86"/>
      <c r="B147" s="87"/>
      <c r="C147" s="63"/>
      <c r="D147" s="63"/>
      <c r="E147" s="63"/>
      <c r="F147" s="59"/>
    </row>
    <row r="148" spans="1:6" ht="111" customHeight="1" x14ac:dyDescent="0.25">
      <c r="A148" s="316" t="s">
        <v>131</v>
      </c>
      <c r="B148" s="346"/>
      <c r="C148" s="63"/>
      <c r="D148" s="63"/>
      <c r="E148" s="63"/>
      <c r="F148" s="59"/>
    </row>
    <row r="149" spans="1:6" ht="36" customHeight="1" thickBot="1" x14ac:dyDescent="0.3">
      <c r="A149" s="318" t="s">
        <v>132</v>
      </c>
      <c r="B149" s="319"/>
      <c r="C149" s="63"/>
      <c r="D149" s="63"/>
      <c r="E149" s="63"/>
      <c r="F149" s="59"/>
    </row>
    <row r="150" spans="1:6" x14ac:dyDescent="0.25">
      <c r="A150" s="5" t="s">
        <v>30</v>
      </c>
      <c r="B150" s="63"/>
      <c r="C150" s="63"/>
      <c r="D150" s="63"/>
      <c r="E150" s="63"/>
      <c r="F150" s="59"/>
    </row>
    <row r="151" spans="1:6" x14ac:dyDescent="0.25">
      <c r="A151" s="62" t="s">
        <v>133</v>
      </c>
      <c r="B151" s="63"/>
      <c r="C151" s="63"/>
      <c r="D151" s="63"/>
      <c r="E151" s="63"/>
      <c r="F151" s="59"/>
    </row>
    <row r="152" spans="1:6" ht="36.75" customHeight="1" x14ac:dyDescent="0.25">
      <c r="A152" s="74" t="s">
        <v>134</v>
      </c>
      <c r="B152" s="75" t="s">
        <v>135</v>
      </c>
      <c r="C152" s="63"/>
      <c r="D152" s="63"/>
      <c r="E152" s="63"/>
      <c r="F152" s="59"/>
    </row>
    <row r="153" spans="1:6" x14ac:dyDescent="0.25">
      <c r="A153" s="66" t="s">
        <v>136</v>
      </c>
      <c r="B153" s="77">
        <v>1.57</v>
      </c>
      <c r="C153" s="63"/>
      <c r="D153" s="63"/>
      <c r="E153" s="63"/>
      <c r="F153" s="59"/>
    </row>
    <row r="154" spans="1:6" ht="18" x14ac:dyDescent="0.25">
      <c r="A154" s="66" t="s">
        <v>137</v>
      </c>
      <c r="B154" s="77">
        <v>1.97</v>
      </c>
      <c r="C154" s="63"/>
      <c r="D154" s="63"/>
      <c r="E154" s="63"/>
      <c r="F154" s="59"/>
    </row>
    <row r="155" spans="1:6" x14ac:dyDescent="0.25">
      <c r="A155" s="66" t="s">
        <v>138</v>
      </c>
      <c r="B155" s="77">
        <v>1.86</v>
      </c>
      <c r="C155" s="63"/>
      <c r="D155" s="63"/>
      <c r="E155" s="63"/>
      <c r="F155" s="59"/>
    </row>
    <row r="156" spans="1:6" x14ac:dyDescent="0.25">
      <c r="A156" s="66" t="s">
        <v>139</v>
      </c>
      <c r="B156" s="77">
        <v>0.28999999999999998</v>
      </c>
      <c r="C156" s="63"/>
      <c r="D156" s="63"/>
      <c r="E156" s="63"/>
      <c r="F156" s="59"/>
    </row>
    <row r="157" spans="1:6" x14ac:dyDescent="0.25">
      <c r="A157" s="66" t="s">
        <v>140</v>
      </c>
      <c r="B157" s="77">
        <v>1.86</v>
      </c>
      <c r="C157" s="63"/>
      <c r="D157" s="63"/>
      <c r="E157" s="63"/>
      <c r="F157" s="59"/>
    </row>
    <row r="158" spans="1:6" x14ac:dyDescent="0.25">
      <c r="A158" s="64"/>
      <c r="B158" s="4"/>
      <c r="C158" s="63"/>
      <c r="D158" s="63"/>
      <c r="E158" s="63"/>
      <c r="F158" s="59"/>
    </row>
    <row r="159" spans="1:6" ht="153.75" customHeight="1" x14ac:dyDescent="0.25">
      <c r="A159" s="316" t="s">
        <v>141</v>
      </c>
      <c r="B159" s="346"/>
      <c r="C159" s="63"/>
      <c r="D159" s="63"/>
      <c r="E159" s="63"/>
      <c r="F159" s="59"/>
    </row>
    <row r="160" spans="1:6" ht="50.25" customHeight="1" thickBot="1" x14ac:dyDescent="0.3">
      <c r="A160" s="318" t="s">
        <v>142</v>
      </c>
      <c r="B160" s="319"/>
      <c r="C160" s="63"/>
      <c r="D160" s="63"/>
      <c r="E160" s="63"/>
      <c r="F160" s="59"/>
    </row>
    <row r="161" spans="1:6" x14ac:dyDescent="0.25">
      <c r="A161" s="5" t="s">
        <v>30</v>
      </c>
      <c r="F161" s="59"/>
    </row>
    <row r="162" spans="1:6" x14ac:dyDescent="0.25">
      <c r="A162" s="62" t="s">
        <v>143</v>
      </c>
      <c r="F162" s="59"/>
    </row>
    <row r="163" spans="1:6" ht="15.75" customHeight="1" x14ac:dyDescent="0.25">
      <c r="A163" s="344" t="s">
        <v>144</v>
      </c>
      <c r="B163" s="345" t="s">
        <v>145</v>
      </c>
      <c r="C163" s="345"/>
      <c r="D163" s="345"/>
      <c r="F163" s="59"/>
    </row>
    <row r="164" spans="1:6" ht="37.5" customHeight="1" x14ac:dyDescent="0.25">
      <c r="A164" s="344"/>
      <c r="B164" s="75" t="s">
        <v>146</v>
      </c>
      <c r="C164" s="75" t="s">
        <v>147</v>
      </c>
      <c r="D164" s="75" t="s">
        <v>148</v>
      </c>
      <c r="F164" s="59"/>
    </row>
    <row r="165" spans="1:6" x14ac:dyDescent="0.25">
      <c r="A165" s="88" t="s">
        <v>149</v>
      </c>
      <c r="B165" s="89">
        <v>0.03</v>
      </c>
      <c r="C165" s="89">
        <v>0.03</v>
      </c>
      <c r="D165" s="89">
        <v>7.0000000000000007E-2</v>
      </c>
      <c r="F165" s="59"/>
    </row>
    <row r="166" spans="1:6" x14ac:dyDescent="0.25">
      <c r="A166" s="88" t="s">
        <v>150</v>
      </c>
      <c r="B166" s="89">
        <v>0.32</v>
      </c>
      <c r="C166" s="89">
        <v>0.16</v>
      </c>
      <c r="D166" s="89">
        <v>0.9</v>
      </c>
      <c r="F166" s="59"/>
    </row>
    <row r="167" spans="1:6" x14ac:dyDescent="0.25">
      <c r="A167" s="88" t="s">
        <v>151</v>
      </c>
      <c r="B167" s="89">
        <v>0.25</v>
      </c>
      <c r="C167" s="89">
        <v>0.25</v>
      </c>
      <c r="D167" s="89">
        <v>0.11</v>
      </c>
      <c r="F167" s="59"/>
    </row>
    <row r="168" spans="1:6" x14ac:dyDescent="0.25">
      <c r="A168" s="88" t="s">
        <v>152</v>
      </c>
      <c r="B168" s="89">
        <v>0.32</v>
      </c>
      <c r="C168" s="89">
        <v>0.05</v>
      </c>
      <c r="D168" s="89">
        <v>0.1</v>
      </c>
      <c r="F168" s="59"/>
    </row>
    <row r="169" spans="1:6" ht="18" x14ac:dyDescent="0.25">
      <c r="A169" s="88" t="s">
        <v>153</v>
      </c>
      <c r="B169" s="89">
        <v>0.2</v>
      </c>
      <c r="C169" s="89">
        <v>0.14000000000000001</v>
      </c>
      <c r="D169" s="89">
        <v>0.13</v>
      </c>
      <c r="F169" s="59"/>
    </row>
    <row r="170" spans="1:6" ht="18" x14ac:dyDescent="0.25">
      <c r="A170" s="88" t="s">
        <v>154</v>
      </c>
      <c r="B170" s="89">
        <v>0.26</v>
      </c>
      <c r="C170" s="89">
        <v>0.17</v>
      </c>
      <c r="D170" s="89">
        <v>0.13</v>
      </c>
      <c r="F170" s="59"/>
    </row>
    <row r="171" spans="1:6" x14ac:dyDescent="0.25">
      <c r="A171" s="88" t="s">
        <v>155</v>
      </c>
      <c r="B171" s="89">
        <v>0.15</v>
      </c>
      <c r="C171" s="89">
        <v>0.15</v>
      </c>
      <c r="D171" s="89">
        <v>0.11</v>
      </c>
      <c r="F171" s="59"/>
    </row>
    <row r="172" spans="1:6" x14ac:dyDescent="0.25">
      <c r="A172" s="88" t="s">
        <v>156</v>
      </c>
      <c r="B172" s="89">
        <v>0.11</v>
      </c>
      <c r="C172" s="89">
        <v>0.11</v>
      </c>
      <c r="D172" s="89">
        <v>0.06</v>
      </c>
      <c r="F172" s="59"/>
    </row>
    <row r="173" spans="1:6" x14ac:dyDescent="0.25">
      <c r="A173" s="88" t="s">
        <v>157</v>
      </c>
      <c r="B173" s="89">
        <v>0.08</v>
      </c>
      <c r="C173" s="89">
        <v>0.03</v>
      </c>
      <c r="D173" s="89">
        <v>0.19</v>
      </c>
      <c r="F173" s="59"/>
    </row>
    <row r="174" spans="1:6" x14ac:dyDescent="0.25">
      <c r="A174" s="88" t="s">
        <v>158</v>
      </c>
      <c r="B174" s="89">
        <v>0.33</v>
      </c>
      <c r="C174" s="89">
        <v>0.33</v>
      </c>
      <c r="D174" s="89">
        <v>0.21</v>
      </c>
      <c r="F174" s="59"/>
    </row>
    <row r="175" spans="1:6" x14ac:dyDescent="0.25">
      <c r="A175" s="88" t="s">
        <v>159</v>
      </c>
      <c r="B175" s="89">
        <v>0.43</v>
      </c>
      <c r="C175" s="89">
        <v>0.08</v>
      </c>
      <c r="D175" s="89">
        <v>7.0000000000000007E-2</v>
      </c>
      <c r="F175" s="59"/>
    </row>
    <row r="176" spans="1:6" x14ac:dyDescent="0.25">
      <c r="A176" s="88" t="s">
        <v>160</v>
      </c>
      <c r="B176" s="89">
        <v>0.32</v>
      </c>
      <c r="C176" s="89">
        <v>0.32</v>
      </c>
      <c r="D176" s="89">
        <v>0.33</v>
      </c>
      <c r="F176" s="59"/>
    </row>
    <row r="177" spans="1:6" ht="18" x14ac:dyDescent="0.25">
      <c r="A177" s="88" t="s">
        <v>161</v>
      </c>
      <c r="B177" s="89">
        <v>0.65</v>
      </c>
      <c r="C177" s="89">
        <v>0.65</v>
      </c>
      <c r="D177" s="89">
        <v>0.65</v>
      </c>
      <c r="F177" s="59"/>
    </row>
    <row r="178" spans="1:6" x14ac:dyDescent="0.25">
      <c r="A178" s="88" t="s">
        <v>162</v>
      </c>
      <c r="B178" s="89">
        <v>0.11</v>
      </c>
      <c r="C178" s="89">
        <v>0.11</v>
      </c>
      <c r="D178" s="89">
        <v>7.0000000000000007E-2</v>
      </c>
      <c r="F178" s="59"/>
    </row>
    <row r="179" spans="1:6" x14ac:dyDescent="0.25">
      <c r="A179" s="88" t="s">
        <v>163</v>
      </c>
      <c r="B179" s="89">
        <v>0.24</v>
      </c>
      <c r="C179" s="89">
        <v>0.1</v>
      </c>
      <c r="D179" s="89">
        <v>0.5</v>
      </c>
      <c r="F179" s="59"/>
    </row>
    <row r="180" spans="1:6" x14ac:dyDescent="0.25">
      <c r="A180" s="88" t="s">
        <v>164</v>
      </c>
      <c r="B180" s="90" t="s">
        <v>107</v>
      </c>
      <c r="C180" s="90" t="s">
        <v>107</v>
      </c>
      <c r="D180" s="89">
        <v>0.1</v>
      </c>
      <c r="F180" s="59"/>
    </row>
    <row r="181" spans="1:6" x14ac:dyDescent="0.25">
      <c r="A181" s="88" t="s">
        <v>165</v>
      </c>
      <c r="B181" s="90" t="s">
        <v>107</v>
      </c>
      <c r="C181" s="90" t="s">
        <v>107</v>
      </c>
      <c r="D181" s="89">
        <v>0.12</v>
      </c>
      <c r="F181" s="59"/>
    </row>
    <row r="182" spans="1:6" x14ac:dyDescent="0.25">
      <c r="A182" s="88" t="s">
        <v>166</v>
      </c>
      <c r="B182" s="90" t="s">
        <v>107</v>
      </c>
      <c r="C182" s="90" t="s">
        <v>107</v>
      </c>
      <c r="D182" s="89">
        <v>7.0000000000000007E-2</v>
      </c>
      <c r="F182" s="59"/>
    </row>
    <row r="183" spans="1:6" x14ac:dyDescent="0.25">
      <c r="A183" s="88" t="s">
        <v>167</v>
      </c>
      <c r="B183" s="90" t="s">
        <v>107</v>
      </c>
      <c r="C183" s="90" t="s">
        <v>107</v>
      </c>
      <c r="D183" s="89">
        <v>0.04</v>
      </c>
      <c r="F183" s="59"/>
    </row>
    <row r="184" spans="1:6" x14ac:dyDescent="0.25">
      <c r="A184" s="88" t="s">
        <v>168</v>
      </c>
      <c r="B184" s="90" t="s">
        <v>107</v>
      </c>
      <c r="C184" s="90" t="s">
        <v>107</v>
      </c>
      <c r="D184" s="89">
        <v>0.1</v>
      </c>
      <c r="F184" s="59"/>
    </row>
    <row r="185" spans="1:6" x14ac:dyDescent="0.25">
      <c r="A185" s="88" t="s">
        <v>169</v>
      </c>
      <c r="B185" s="90" t="s">
        <v>107</v>
      </c>
      <c r="C185" s="90" t="s">
        <v>107</v>
      </c>
      <c r="D185" s="89">
        <v>0.05</v>
      </c>
      <c r="F185" s="59"/>
    </row>
    <row r="186" spans="1:6" ht="18" x14ac:dyDescent="0.25">
      <c r="A186" s="88" t="s">
        <v>170</v>
      </c>
      <c r="B186" s="90" t="s">
        <v>107</v>
      </c>
      <c r="C186" s="90" t="s">
        <v>107</v>
      </c>
      <c r="D186" s="89">
        <v>0.21</v>
      </c>
      <c r="F186" s="59"/>
    </row>
    <row r="187" spans="1:6" x14ac:dyDescent="0.25">
      <c r="A187" s="91"/>
      <c r="B187" s="57"/>
      <c r="C187" s="57"/>
      <c r="D187" s="58"/>
      <c r="F187" s="59"/>
    </row>
    <row r="188" spans="1:6" ht="63.75" customHeight="1" x14ac:dyDescent="0.25">
      <c r="A188" s="324" t="s">
        <v>171</v>
      </c>
      <c r="B188" s="343"/>
      <c r="C188" s="343"/>
      <c r="D188" s="325"/>
      <c r="F188" s="59"/>
    </row>
    <row r="189" spans="1:6" x14ac:dyDescent="0.25">
      <c r="A189" s="5" t="s">
        <v>30</v>
      </c>
      <c r="F189" s="59"/>
    </row>
    <row r="190" spans="1:6" x14ac:dyDescent="0.25">
      <c r="A190" s="62" t="s">
        <v>172</v>
      </c>
      <c r="F190" s="59"/>
    </row>
    <row r="191" spans="1:6" x14ac:dyDescent="0.25">
      <c r="A191" s="344" t="s">
        <v>144</v>
      </c>
      <c r="B191" s="345" t="s">
        <v>145</v>
      </c>
      <c r="C191" s="345"/>
      <c r="D191" s="345"/>
      <c r="F191" s="59"/>
    </row>
    <row r="192" spans="1:6" x14ac:dyDescent="0.25">
      <c r="A192" s="344"/>
      <c r="B192" s="75" t="s">
        <v>173</v>
      </c>
      <c r="C192" s="75" t="s">
        <v>174</v>
      </c>
      <c r="D192" s="75" t="s">
        <v>175</v>
      </c>
      <c r="F192" s="59"/>
    </row>
    <row r="193" spans="1:6" x14ac:dyDescent="0.25">
      <c r="A193" s="88" t="s">
        <v>150</v>
      </c>
      <c r="B193" s="89">
        <v>0.23</v>
      </c>
      <c r="C193" s="89">
        <v>0.23</v>
      </c>
      <c r="D193" s="89">
        <v>0.23</v>
      </c>
      <c r="F193" s="59"/>
    </row>
    <row r="194" spans="1:6" x14ac:dyDescent="0.25">
      <c r="A194" s="88" t="s">
        <v>176</v>
      </c>
      <c r="B194" s="89">
        <v>0.13</v>
      </c>
      <c r="C194" s="89">
        <v>0.13</v>
      </c>
      <c r="D194" s="89">
        <v>0.32</v>
      </c>
      <c r="F194" s="59"/>
    </row>
    <row r="195" spans="1:6" x14ac:dyDescent="0.25">
      <c r="A195" s="88" t="s">
        <v>177</v>
      </c>
      <c r="B195" s="89">
        <v>0.09</v>
      </c>
      <c r="C195" s="89">
        <v>0.09</v>
      </c>
      <c r="D195" s="89">
        <v>0.09</v>
      </c>
      <c r="F195" s="59"/>
    </row>
    <row r="196" spans="1:6" x14ac:dyDescent="0.25">
      <c r="A196" s="88" t="s">
        <v>152</v>
      </c>
      <c r="B196" s="89">
        <v>0.4</v>
      </c>
      <c r="C196" s="89">
        <v>0.4</v>
      </c>
      <c r="D196" s="89">
        <v>0.41</v>
      </c>
      <c r="F196" s="59"/>
    </row>
    <row r="197" spans="1:6" x14ac:dyDescent="0.25">
      <c r="A197" s="88" t="s">
        <v>160</v>
      </c>
      <c r="B197" s="89">
        <v>0.23</v>
      </c>
      <c r="C197" s="89">
        <v>0.23</v>
      </c>
      <c r="D197" s="89">
        <v>0.65</v>
      </c>
      <c r="F197" s="59"/>
    </row>
    <row r="198" spans="1:6" x14ac:dyDescent="0.25">
      <c r="A198" s="88" t="s">
        <v>178</v>
      </c>
      <c r="B198" s="89">
        <v>0.33</v>
      </c>
      <c r="C198" s="89">
        <v>0.13</v>
      </c>
      <c r="D198" s="89">
        <v>0.49</v>
      </c>
      <c r="F198" s="59"/>
    </row>
    <row r="199" spans="1:6" x14ac:dyDescent="0.25">
      <c r="A199" s="88" t="s">
        <v>179</v>
      </c>
      <c r="B199" s="89">
        <v>0.05</v>
      </c>
      <c r="C199" s="89">
        <v>0.05</v>
      </c>
      <c r="D199" s="89">
        <v>0.05</v>
      </c>
      <c r="F199" s="59"/>
    </row>
    <row r="200" spans="1:6" x14ac:dyDescent="0.25">
      <c r="A200" s="88" t="s">
        <v>180</v>
      </c>
      <c r="B200" s="90" t="s">
        <v>107</v>
      </c>
      <c r="C200" s="90" t="s">
        <v>107</v>
      </c>
      <c r="D200" s="89">
        <v>0.03</v>
      </c>
      <c r="F200" s="59"/>
    </row>
    <row r="201" spans="1:6" x14ac:dyDescent="0.25">
      <c r="A201" s="88" t="s">
        <v>155</v>
      </c>
      <c r="B201" s="90" t="s">
        <v>107</v>
      </c>
      <c r="C201" s="90" t="s">
        <v>107</v>
      </c>
      <c r="D201" s="89">
        <v>0.2</v>
      </c>
      <c r="F201" s="59"/>
    </row>
    <row r="202" spans="1:6" x14ac:dyDescent="0.25">
      <c r="A202" s="5" t="s">
        <v>30</v>
      </c>
      <c r="F202" s="59"/>
    </row>
    <row r="203" spans="1:6" x14ac:dyDescent="0.25">
      <c r="A203" s="62" t="s">
        <v>181</v>
      </c>
      <c r="F203" s="59"/>
    </row>
    <row r="204" spans="1:6" ht="47.25" x14ac:dyDescent="0.25">
      <c r="A204" s="74" t="s">
        <v>182</v>
      </c>
      <c r="B204" s="92" t="s">
        <v>183</v>
      </c>
      <c r="C204" s="92" t="s">
        <v>184</v>
      </c>
      <c r="F204" s="59"/>
    </row>
    <row r="205" spans="1:6" ht="17.25" x14ac:dyDescent="0.25">
      <c r="A205" s="88" t="s">
        <v>185</v>
      </c>
      <c r="B205" s="89">
        <v>0.33</v>
      </c>
      <c r="C205" s="89">
        <v>0.39</v>
      </c>
      <c r="F205" s="59"/>
    </row>
    <row r="206" spans="1:6" ht="17.25" x14ac:dyDescent="0.25">
      <c r="A206" s="88" t="s">
        <v>186</v>
      </c>
      <c r="B206" s="89">
        <v>0.65</v>
      </c>
      <c r="C206" s="89">
        <v>0.78</v>
      </c>
      <c r="F206" s="59"/>
    </row>
    <row r="207" spans="1:6" ht="17.25" x14ac:dyDescent="0.25">
      <c r="A207" s="88" t="s">
        <v>187</v>
      </c>
      <c r="B207" s="89">
        <v>1.63</v>
      </c>
      <c r="C207" s="89">
        <v>1.57</v>
      </c>
      <c r="F207" s="59"/>
    </row>
    <row r="208" spans="1:6" x14ac:dyDescent="0.25">
      <c r="A208" s="88" t="s">
        <v>188</v>
      </c>
      <c r="B208" s="89">
        <v>1.96</v>
      </c>
      <c r="C208" s="89">
        <v>1.96</v>
      </c>
      <c r="F208" s="59"/>
    </row>
    <row r="209" spans="1:6" x14ac:dyDescent="0.25">
      <c r="A209" s="88" t="s">
        <v>189</v>
      </c>
      <c r="B209" s="89">
        <v>3.27</v>
      </c>
      <c r="C209" s="89">
        <v>3.53</v>
      </c>
      <c r="F209" s="59"/>
    </row>
    <row r="210" spans="1:6" x14ac:dyDescent="0.25">
      <c r="A210" s="88" t="s">
        <v>190</v>
      </c>
      <c r="B210" s="89">
        <v>3.59</v>
      </c>
      <c r="C210" s="89">
        <v>3.92</v>
      </c>
      <c r="F210" s="59"/>
    </row>
    <row r="211" spans="1:6" x14ac:dyDescent="0.25">
      <c r="A211" s="88" t="s">
        <v>191</v>
      </c>
      <c r="B211" s="89">
        <v>5.23</v>
      </c>
      <c r="C211" s="89">
        <v>3.92</v>
      </c>
      <c r="F211" s="59"/>
    </row>
    <row r="212" spans="1:6" ht="17.25" x14ac:dyDescent="0.25">
      <c r="A212" s="88" t="s">
        <v>192</v>
      </c>
      <c r="B212" s="89">
        <v>3.59</v>
      </c>
      <c r="C212" s="89">
        <v>3.92</v>
      </c>
      <c r="F212" s="59"/>
    </row>
    <row r="213" spans="1:6" x14ac:dyDescent="0.25">
      <c r="A213" s="91"/>
      <c r="B213" s="57"/>
      <c r="C213" s="58"/>
      <c r="F213" s="59"/>
    </row>
    <row r="214" spans="1:6" ht="48.75" customHeight="1" x14ac:dyDescent="0.25">
      <c r="A214" s="316" t="s">
        <v>193</v>
      </c>
      <c r="B214" s="342"/>
      <c r="C214" s="317"/>
      <c r="F214" s="59"/>
    </row>
    <row r="215" spans="1:6" ht="96.75" customHeight="1" x14ac:dyDescent="0.25">
      <c r="A215" s="316" t="s">
        <v>194</v>
      </c>
      <c r="B215" s="342"/>
      <c r="C215" s="317"/>
      <c r="F215" s="59"/>
    </row>
    <row r="216" spans="1:6" ht="66.75" customHeight="1" x14ac:dyDescent="0.25">
      <c r="A216" s="324" t="s">
        <v>195</v>
      </c>
      <c r="B216" s="343"/>
      <c r="C216" s="325"/>
      <c r="F216" s="59"/>
    </row>
    <row r="217" spans="1:6" x14ac:dyDescent="0.25">
      <c r="A217" s="5" t="s">
        <v>30</v>
      </c>
      <c r="F217" s="59"/>
    </row>
    <row r="218" spans="1:6" x14ac:dyDescent="0.25">
      <c r="A218" s="62" t="s">
        <v>196</v>
      </c>
      <c r="F218" s="59"/>
    </row>
    <row r="219" spans="1:6" ht="47.25" x14ac:dyDescent="0.25">
      <c r="A219" s="74" t="s">
        <v>197</v>
      </c>
      <c r="B219" s="92" t="s">
        <v>198</v>
      </c>
      <c r="C219" s="92" t="s">
        <v>199</v>
      </c>
      <c r="F219" s="59"/>
    </row>
    <row r="220" spans="1:6" ht="17.25" x14ac:dyDescent="0.25">
      <c r="A220" s="88" t="s">
        <v>200</v>
      </c>
      <c r="B220" s="90" t="s">
        <v>201</v>
      </c>
      <c r="C220" s="89">
        <v>7.63</v>
      </c>
      <c r="F220" s="59"/>
    </row>
    <row r="221" spans="1:6" ht="17.25" x14ac:dyDescent="0.25">
      <c r="A221" s="88" t="s">
        <v>202</v>
      </c>
      <c r="B221" s="90" t="s">
        <v>203</v>
      </c>
      <c r="C221" s="89">
        <v>6.8</v>
      </c>
      <c r="F221" s="59"/>
    </row>
    <row r="222" spans="1:6" x14ac:dyDescent="0.25">
      <c r="A222" s="91"/>
      <c r="B222" s="57"/>
      <c r="C222" s="58"/>
      <c r="F222" s="59"/>
    </row>
    <row r="223" spans="1:6" ht="50.25" customHeight="1" x14ac:dyDescent="0.25">
      <c r="A223" s="316" t="s">
        <v>204</v>
      </c>
      <c r="B223" s="342"/>
      <c r="C223" s="317"/>
      <c r="F223" s="59"/>
    </row>
    <row r="224" spans="1:6" ht="51" customHeight="1" x14ac:dyDescent="0.25">
      <c r="A224" s="316" t="s">
        <v>205</v>
      </c>
      <c r="B224" s="342"/>
      <c r="C224" s="317"/>
      <c r="F224" s="59"/>
    </row>
    <row r="225" spans="1:6" ht="49.5" customHeight="1" x14ac:dyDescent="0.25">
      <c r="A225" s="316" t="s">
        <v>206</v>
      </c>
      <c r="B225" s="342"/>
      <c r="C225" s="317"/>
      <c r="F225" s="59"/>
    </row>
    <row r="226" spans="1:6" ht="80.25" customHeight="1" x14ac:dyDescent="0.25">
      <c r="A226" s="324" t="s">
        <v>207</v>
      </c>
      <c r="B226" s="343"/>
      <c r="C226" s="325"/>
      <c r="F226" s="59"/>
    </row>
    <row r="227" spans="1:6" x14ac:dyDescent="0.25">
      <c r="A227" s="5" t="s">
        <v>30</v>
      </c>
      <c r="F227" s="59"/>
    </row>
    <row r="228" spans="1:6" x14ac:dyDescent="0.25">
      <c r="A228" s="62" t="s">
        <v>208</v>
      </c>
      <c r="F228" s="59"/>
    </row>
    <row r="229" spans="1:6" ht="15.75" customHeight="1" x14ac:dyDescent="0.25">
      <c r="A229" s="344" t="s">
        <v>209</v>
      </c>
      <c r="B229" s="339" t="s">
        <v>210</v>
      </c>
      <c r="C229" s="340"/>
      <c r="D229" s="340"/>
      <c r="E229" s="340"/>
      <c r="F229" s="341"/>
    </row>
    <row r="230" spans="1:6" ht="49.5" x14ac:dyDescent="0.25">
      <c r="A230" s="344"/>
      <c r="B230" s="75" t="s">
        <v>211</v>
      </c>
      <c r="C230" s="75" t="s">
        <v>212</v>
      </c>
      <c r="D230" s="75" t="s">
        <v>213</v>
      </c>
      <c r="E230" s="75" t="s">
        <v>214</v>
      </c>
      <c r="F230" s="75" t="s">
        <v>215</v>
      </c>
    </row>
    <row r="231" spans="1:6" x14ac:dyDescent="0.25">
      <c r="A231" s="88" t="s">
        <v>216</v>
      </c>
      <c r="B231" s="93">
        <v>0.13800000000000001</v>
      </c>
      <c r="C231" s="94">
        <v>1.9E-3</v>
      </c>
      <c r="D231" s="93">
        <v>1.7000000000000001E-2</v>
      </c>
      <c r="E231" s="93" t="s">
        <v>107</v>
      </c>
      <c r="F231" s="93">
        <v>0.107</v>
      </c>
    </row>
    <row r="232" spans="1:6" x14ac:dyDescent="0.25">
      <c r="A232" s="88" t="s">
        <v>217</v>
      </c>
      <c r="B232" s="93">
        <v>2.9000000000000001E-2</v>
      </c>
      <c r="C232" s="94">
        <v>2.0000000000000001E-4</v>
      </c>
      <c r="D232" s="93">
        <v>9.6000000000000002E-2</v>
      </c>
      <c r="E232" s="93" t="s">
        <v>107</v>
      </c>
      <c r="F232" s="93">
        <v>0.109</v>
      </c>
    </row>
    <row r="233" spans="1:6" x14ac:dyDescent="0.25">
      <c r="A233" s="88" t="s">
        <v>218</v>
      </c>
      <c r="B233" s="93">
        <v>0.11600000000000001</v>
      </c>
      <c r="C233" s="94">
        <v>1.1000000000000001E-3</v>
      </c>
      <c r="D233" s="93">
        <v>0.04</v>
      </c>
      <c r="E233" s="93">
        <v>1.2E-2</v>
      </c>
      <c r="F233" s="93">
        <v>0.107</v>
      </c>
    </row>
    <row r="234" spans="1:6" x14ac:dyDescent="0.25">
      <c r="A234" s="88" t="s">
        <v>219</v>
      </c>
      <c r="B234" s="93">
        <v>0.34499999999999997</v>
      </c>
      <c r="C234" s="94">
        <v>4.3700000000000003E-2</v>
      </c>
      <c r="D234" s="93">
        <v>1.6E-2</v>
      </c>
      <c r="E234" s="93" t="s">
        <v>107</v>
      </c>
      <c r="F234" s="93">
        <v>0.30299999999999999</v>
      </c>
    </row>
    <row r="235" spans="1:6" x14ac:dyDescent="0.25">
      <c r="A235" s="88" t="s">
        <v>220</v>
      </c>
      <c r="B235" s="93">
        <v>7.4999999999999997E-2</v>
      </c>
      <c r="C235" s="94">
        <v>3.7000000000000002E-3</v>
      </c>
      <c r="D235" s="93">
        <v>2.7E-2</v>
      </c>
      <c r="E235" s="93" t="s">
        <v>107</v>
      </c>
      <c r="F235" s="93">
        <v>0.29899999999999999</v>
      </c>
    </row>
    <row r="236" spans="1:6" x14ac:dyDescent="0.25">
      <c r="A236" s="88" t="s">
        <v>221</v>
      </c>
      <c r="B236" s="93">
        <v>0.23599999999999999</v>
      </c>
      <c r="C236" s="94">
        <v>2.1999999999999999E-2</v>
      </c>
      <c r="D236" s="93">
        <v>2.1000000000000001E-2</v>
      </c>
      <c r="E236" s="93">
        <v>3.5000000000000003E-2</v>
      </c>
      <c r="F236" s="93">
        <v>0.30099999999999999</v>
      </c>
    </row>
    <row r="237" spans="1:6" x14ac:dyDescent="0.25">
      <c r="A237" s="88" t="s">
        <v>222</v>
      </c>
      <c r="B237" s="93">
        <v>0.154</v>
      </c>
      <c r="C237" s="94">
        <v>5.1000000000000004E-3</v>
      </c>
      <c r="D237" s="93">
        <v>1.7000000000000001E-2</v>
      </c>
      <c r="E237" s="93" t="s">
        <v>107</v>
      </c>
      <c r="F237" s="93">
        <v>0.124</v>
      </c>
    </row>
    <row r="238" spans="1:6" x14ac:dyDescent="0.25">
      <c r="A238" s="88" t="s">
        <v>223</v>
      </c>
      <c r="B238" s="93">
        <v>3.5999999999999997E-2</v>
      </c>
      <c r="C238" s="94">
        <v>6.9999999999999999E-4</v>
      </c>
      <c r="D238" s="93">
        <v>8.5999999999999993E-2</v>
      </c>
      <c r="E238" s="93" t="s">
        <v>107</v>
      </c>
      <c r="F238" s="93">
        <v>0.14000000000000001</v>
      </c>
    </row>
    <row r="239" spans="1:6" x14ac:dyDescent="0.25">
      <c r="A239" s="88" t="s">
        <v>224</v>
      </c>
      <c r="B239" s="93">
        <v>0.128</v>
      </c>
      <c r="C239" s="94">
        <v>3.0999999999999999E-3</v>
      </c>
      <c r="D239" s="93">
        <v>3.7999999999999999E-2</v>
      </c>
      <c r="E239" s="93">
        <v>1.4999999999999999E-2</v>
      </c>
      <c r="F239" s="93">
        <v>0.129</v>
      </c>
    </row>
    <row r="240" spans="1:6" x14ac:dyDescent="0.25">
      <c r="A240" s="91"/>
      <c r="B240" s="57"/>
      <c r="C240" s="57"/>
      <c r="D240" s="58"/>
      <c r="F240" s="59"/>
    </row>
    <row r="241" spans="1:6" ht="32.1" customHeight="1" x14ac:dyDescent="0.25">
      <c r="A241" s="316" t="s">
        <v>225</v>
      </c>
      <c r="B241" s="342"/>
      <c r="C241" s="342"/>
      <c r="D241" s="342"/>
      <c r="E241" s="342"/>
      <c r="F241" s="317"/>
    </row>
    <row r="242" spans="1:6" ht="32.450000000000003" customHeight="1" x14ac:dyDescent="0.25">
      <c r="A242" s="332" t="s">
        <v>226</v>
      </c>
      <c r="B242" s="332"/>
      <c r="C242" s="332"/>
      <c r="D242" s="332"/>
      <c r="E242" s="332"/>
      <c r="F242" s="333"/>
    </row>
  </sheetData>
  <mergeCells count="35">
    <mergeCell ref="A225:C225"/>
    <mergeCell ref="B163:D163"/>
    <mergeCell ref="A163:A164"/>
    <mergeCell ref="A148:B148"/>
    <mergeCell ref="A149:B149"/>
    <mergeCell ref="A159:B159"/>
    <mergeCell ref="A242:F242"/>
    <mergeCell ref="B60:D60"/>
    <mergeCell ref="A74:D74"/>
    <mergeCell ref="A75:D75"/>
    <mergeCell ref="B229:F229"/>
    <mergeCell ref="A241:F241"/>
    <mergeCell ref="A226:C226"/>
    <mergeCell ref="A229:A230"/>
    <mergeCell ref="A214:C214"/>
    <mergeCell ref="A215:C215"/>
    <mergeCell ref="A216:C216"/>
    <mergeCell ref="A223:C223"/>
    <mergeCell ref="A224:C224"/>
    <mergeCell ref="A188:D188"/>
    <mergeCell ref="A191:A192"/>
    <mergeCell ref="B191:D191"/>
    <mergeCell ref="A20:B20"/>
    <mergeCell ref="A21:B21"/>
    <mergeCell ref="A36:B36"/>
    <mergeCell ref="A37:B37"/>
    <mergeCell ref="A160:B160"/>
    <mergeCell ref="A38:B38"/>
    <mergeCell ref="A39:B39"/>
    <mergeCell ref="A40:B40"/>
    <mergeCell ref="A49:B49"/>
    <mergeCell ref="A56:B56"/>
    <mergeCell ref="A57:B57"/>
    <mergeCell ref="A111:E111"/>
    <mergeCell ref="A112:E112"/>
  </mergeCells>
  <hyperlinks>
    <hyperlink ref="A3" r:id="rId1" display="Tables A-1 through A-4 come from USDOT BCA Guidance (March 2022, Revised)" xr:uid="{68918682-7B21-4C2E-A89E-E2125912E2A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2AF6-D5FB-40DE-935F-B23E8B0B3C6A}">
  <sheetPr>
    <tabColor theme="9" tint="0.39997558519241921"/>
  </sheetPr>
  <dimension ref="A1:DG263"/>
  <sheetViews>
    <sheetView workbookViewId="0">
      <selection activeCell="Z51" sqref="Z51"/>
    </sheetView>
  </sheetViews>
  <sheetFormatPr defaultRowHeight="15" x14ac:dyDescent="0.25"/>
  <cols>
    <col min="1" max="1" width="30.140625" customWidth="1"/>
    <col min="2" max="3" width="20.7109375" customWidth="1"/>
    <col min="4" max="4" width="22.42578125" bestFit="1" customWidth="1"/>
    <col min="5" max="5" width="22.42578125" customWidth="1"/>
    <col min="6" max="6" width="21.140625" customWidth="1"/>
    <col min="7" max="7" width="22.42578125" bestFit="1" customWidth="1"/>
    <col min="8" max="8" width="16.85546875" customWidth="1"/>
    <col min="9" max="9" width="22.42578125" bestFit="1" customWidth="1"/>
    <col min="10" max="10" width="19.7109375" customWidth="1"/>
    <col min="11" max="11" width="22.42578125" bestFit="1" customWidth="1"/>
    <col min="12" max="13" width="9.140625" style="5"/>
    <col min="14" max="14" width="21.85546875" style="5" bestFit="1" customWidth="1"/>
    <col min="15" max="15" width="25.42578125" style="5" bestFit="1" customWidth="1"/>
    <col min="16" max="16" width="22.7109375" style="5" bestFit="1" customWidth="1"/>
    <col min="17" max="17" width="17.7109375" style="5" bestFit="1" customWidth="1"/>
    <col min="18" max="18" width="48" style="5" bestFit="1" customWidth="1"/>
    <col min="19" max="19" width="25.42578125" style="5" bestFit="1" customWidth="1"/>
    <col min="20" max="20" width="22.7109375" style="187" bestFit="1" customWidth="1"/>
    <col min="21" max="21" width="11.85546875" style="5" customWidth="1"/>
    <col min="22" max="22" width="15.140625" style="5" customWidth="1"/>
    <col min="23" max="23" width="15" style="5" bestFit="1" customWidth="1"/>
    <col min="24" max="24" width="17.28515625" style="5" bestFit="1" customWidth="1"/>
    <col min="25" max="25" width="25.42578125" style="5" bestFit="1" customWidth="1"/>
    <col min="26" max="26" width="20.7109375" style="5" customWidth="1"/>
    <col min="27" max="28" width="12.140625" style="5" bestFit="1" customWidth="1"/>
    <col min="29" max="29" width="13.7109375" style="5" bestFit="1" customWidth="1"/>
    <col min="30" max="31" width="12.140625" style="5" bestFit="1" customWidth="1"/>
    <col min="32" max="32" width="13.7109375" style="5" bestFit="1" customWidth="1"/>
    <col min="33" max="33" width="12.140625" style="5" bestFit="1" customWidth="1"/>
    <col min="34" max="34" width="13.7109375" style="5" bestFit="1" customWidth="1"/>
    <col min="35" max="35" width="12.140625" style="5" bestFit="1" customWidth="1"/>
    <col min="36" max="36" width="13.7109375" style="5" bestFit="1" customWidth="1"/>
    <col min="37" max="37" width="10.85546875" style="5" bestFit="1" customWidth="1"/>
    <col min="38" max="40" width="12.7109375" style="5" bestFit="1" customWidth="1"/>
    <col min="41" max="41" width="13.85546875" style="5" bestFit="1" customWidth="1"/>
    <col min="42" max="43" width="12.7109375" style="5" bestFit="1" customWidth="1"/>
    <col min="44" max="44" width="25.140625" style="5" bestFit="1" customWidth="1"/>
    <col min="45" max="45" width="27.42578125" style="5" bestFit="1" customWidth="1"/>
    <col min="46" max="47" width="9.140625" style="5"/>
    <col min="48" max="48" width="42.7109375" style="191" bestFit="1" customWidth="1"/>
    <col min="49" max="49" width="16.7109375" style="5" bestFit="1" customWidth="1"/>
    <col min="50" max="50" width="13.5703125" style="5" bestFit="1" customWidth="1"/>
    <col min="51" max="51" width="10.85546875" style="5" bestFit="1" customWidth="1"/>
    <col min="52" max="52" width="13.5703125" style="5" bestFit="1" customWidth="1"/>
    <col min="53" max="53" width="10.85546875" style="5" bestFit="1" customWidth="1"/>
    <col min="54" max="54" width="13.5703125" style="5" bestFit="1" customWidth="1"/>
    <col min="55" max="55" width="10.85546875" style="5" bestFit="1" customWidth="1"/>
    <col min="56" max="56" width="13.5703125" style="5" bestFit="1" customWidth="1"/>
    <col min="57" max="57" width="10.85546875" style="5" bestFit="1" customWidth="1"/>
    <col min="58" max="58" width="13.5703125" style="5" bestFit="1" customWidth="1"/>
    <col min="59" max="59" width="10.85546875" style="5" bestFit="1" customWidth="1"/>
    <col min="60" max="62" width="12.7109375" style="5" bestFit="1" customWidth="1"/>
    <col min="63" max="63" width="13.85546875" style="5" bestFit="1" customWidth="1"/>
    <col min="64" max="65" width="12.7109375" style="5" bestFit="1" customWidth="1"/>
    <col min="66" max="67" width="27.42578125" style="187" customWidth="1"/>
    <col min="68" max="71" width="9.140625" style="5"/>
    <col min="72" max="96" width="8.85546875" style="5"/>
    <col min="97" max="111" width="9.140625" style="5"/>
  </cols>
  <sheetData>
    <row r="1" spans="1:97" ht="20.25" thickBot="1" x14ac:dyDescent="0.35">
      <c r="A1" s="95" t="s">
        <v>0</v>
      </c>
      <c r="B1" s="5"/>
      <c r="C1" s="5"/>
      <c r="D1" s="5"/>
      <c r="E1" s="5"/>
      <c r="F1" s="5"/>
      <c r="G1" s="5"/>
      <c r="H1" s="5"/>
      <c r="I1" s="5"/>
      <c r="J1" s="5"/>
      <c r="K1" s="5"/>
    </row>
    <row r="2" spans="1:97" ht="15.75" thickTop="1" x14ac:dyDescent="0.25">
      <c r="A2" s="151" t="s">
        <v>227</v>
      </c>
      <c r="B2" s="151"/>
      <c r="C2" s="151"/>
      <c r="D2" s="151"/>
      <c r="E2" s="151"/>
      <c r="F2" s="151"/>
      <c r="G2" s="5"/>
      <c r="H2" s="5"/>
      <c r="I2" s="5"/>
      <c r="J2" s="5"/>
      <c r="K2" s="5"/>
    </row>
    <row r="3" spans="1:97" x14ac:dyDescent="0.25">
      <c r="A3" s="151" t="s">
        <v>228</v>
      </c>
      <c r="B3" s="151"/>
      <c r="C3" s="151"/>
      <c r="D3" s="151"/>
      <c r="E3" s="151"/>
      <c r="F3" s="151"/>
      <c r="G3" s="5"/>
      <c r="H3" s="5"/>
      <c r="I3" s="5"/>
      <c r="J3" s="5"/>
      <c r="K3" s="5"/>
    </row>
    <row r="4" spans="1:97" x14ac:dyDescent="0.25">
      <c r="A4" s="151" t="s">
        <v>229</v>
      </c>
      <c r="B4" s="151"/>
      <c r="C4" s="151"/>
      <c r="D4" s="5"/>
      <c r="E4" s="5"/>
      <c r="F4" s="5"/>
      <c r="G4" s="5"/>
      <c r="H4" s="5"/>
      <c r="I4" s="5"/>
      <c r="J4" s="5"/>
      <c r="K4" s="5"/>
    </row>
    <row r="5" spans="1:97" x14ac:dyDescent="0.25">
      <c r="A5" s="151" t="s">
        <v>230</v>
      </c>
      <c r="B5" s="151"/>
      <c r="C5" s="5"/>
      <c r="D5" s="5"/>
      <c r="E5" s="5"/>
      <c r="F5" s="5"/>
      <c r="G5" s="5"/>
      <c r="H5" s="5"/>
      <c r="I5" s="5"/>
      <c r="J5" s="5"/>
      <c r="K5" s="5"/>
    </row>
    <row r="6" spans="1:97" x14ac:dyDescent="0.25">
      <c r="A6" s="5" t="s">
        <v>30</v>
      </c>
      <c r="B6" s="5"/>
      <c r="C6" s="5"/>
      <c r="D6" s="5"/>
      <c r="E6" s="5"/>
      <c r="F6" s="5"/>
      <c r="G6" s="5"/>
      <c r="H6" s="5"/>
      <c r="I6" s="5"/>
      <c r="J6" s="5"/>
      <c r="K6" s="5"/>
    </row>
    <row r="7" spans="1:97" ht="15.75" thickBot="1" x14ac:dyDescent="0.3">
      <c r="A7" s="145" t="s">
        <v>231</v>
      </c>
      <c r="B7" s="5"/>
      <c r="C7" s="5"/>
      <c r="D7" s="5"/>
      <c r="E7" s="5"/>
      <c r="F7" s="5"/>
      <c r="G7" s="5"/>
      <c r="H7" s="5"/>
      <c r="I7" s="5"/>
      <c r="J7" s="5"/>
      <c r="K7" s="5"/>
    </row>
    <row r="8" spans="1:97" x14ac:dyDescent="0.25">
      <c r="A8" s="5"/>
      <c r="B8" s="225" t="s">
        <v>232</v>
      </c>
      <c r="C8" s="225" t="s">
        <v>233</v>
      </c>
      <c r="D8" s="351" t="s">
        <v>234</v>
      </c>
      <c r="E8" s="351"/>
      <c r="F8" s="351" t="s">
        <v>235</v>
      </c>
      <c r="G8" s="351"/>
      <c r="H8" s="352" t="s">
        <v>236</v>
      </c>
      <c r="I8" s="352"/>
      <c r="J8" s="361" t="s">
        <v>237</v>
      </c>
      <c r="K8" s="362"/>
      <c r="M8" s="10" t="s">
        <v>238</v>
      </c>
      <c r="N8" s="11"/>
      <c r="O8" s="11"/>
      <c r="P8" s="11"/>
      <c r="Q8" s="11"/>
      <c r="R8" s="11"/>
      <c r="S8" s="11"/>
      <c r="T8" s="203"/>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92"/>
      <c r="AW8" s="11"/>
      <c r="AX8" s="11"/>
      <c r="AY8" s="11"/>
      <c r="AZ8" s="11"/>
      <c r="BA8" s="11"/>
      <c r="BB8" s="11"/>
      <c r="BC8" s="11"/>
      <c r="BD8" s="11"/>
      <c r="BE8" s="11"/>
      <c r="BF8" s="11"/>
      <c r="BG8" s="11"/>
      <c r="BH8" s="11"/>
      <c r="BI8" s="11"/>
      <c r="BJ8" s="11"/>
      <c r="BK8" s="11"/>
      <c r="BL8" s="11"/>
      <c r="BM8" s="11"/>
      <c r="BN8" s="203"/>
      <c r="BO8" s="203"/>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2"/>
    </row>
    <row r="9" spans="1:97" ht="15.75" thickBot="1" x14ac:dyDescent="0.3">
      <c r="A9" s="101" t="s">
        <v>239</v>
      </c>
      <c r="B9" s="102" t="s">
        <v>240</v>
      </c>
      <c r="C9" s="102" t="s">
        <v>240</v>
      </c>
      <c r="D9" s="102" t="s">
        <v>241</v>
      </c>
      <c r="E9" s="102" t="s">
        <v>242</v>
      </c>
      <c r="F9" s="102" t="s">
        <v>241</v>
      </c>
      <c r="G9" s="102" t="s">
        <v>242</v>
      </c>
      <c r="H9" s="102" t="s">
        <v>241</v>
      </c>
      <c r="I9" s="102" t="s">
        <v>242</v>
      </c>
      <c r="J9" s="102" t="s">
        <v>241</v>
      </c>
      <c r="K9" s="102" t="s">
        <v>242</v>
      </c>
      <c r="M9" s="13"/>
      <c r="N9"/>
      <c r="O9"/>
      <c r="P9"/>
      <c r="Q9"/>
      <c r="R9"/>
      <c r="S9"/>
      <c r="T9" s="186"/>
      <c r="U9"/>
      <c r="V9"/>
      <c r="W9"/>
      <c r="X9"/>
      <c r="Y9"/>
      <c r="Z9"/>
      <c r="AA9"/>
      <c r="AB9"/>
      <c r="AC9"/>
      <c r="AD9"/>
      <c r="AE9"/>
      <c r="AF9"/>
      <c r="AG9"/>
      <c r="AH9"/>
      <c r="AI9"/>
      <c r="AJ9"/>
      <c r="AK9"/>
      <c r="AL9"/>
      <c r="AM9"/>
      <c r="AN9"/>
      <c r="AO9"/>
      <c r="AP9"/>
      <c r="AQ9"/>
      <c r="AR9"/>
      <c r="AS9"/>
      <c r="AT9"/>
      <c r="AU9"/>
      <c r="AV9" s="193"/>
      <c r="AW9"/>
      <c r="AX9"/>
      <c r="AY9"/>
      <c r="AZ9"/>
      <c r="BA9"/>
      <c r="BB9"/>
      <c r="BC9"/>
      <c r="BD9"/>
      <c r="BE9"/>
      <c r="BF9"/>
      <c r="BG9"/>
      <c r="BH9"/>
      <c r="BI9"/>
      <c r="BJ9"/>
      <c r="BK9"/>
      <c r="BL9"/>
      <c r="BM9"/>
      <c r="BN9" s="186"/>
      <c r="BO9" s="186"/>
      <c r="BP9"/>
      <c r="BQ9"/>
      <c r="BR9"/>
      <c r="BS9"/>
      <c r="BT9"/>
      <c r="BU9"/>
      <c r="BV9"/>
      <c r="BW9"/>
      <c r="BX9"/>
      <c r="BY9"/>
      <c r="BZ9"/>
      <c r="CA9"/>
      <c r="CB9"/>
      <c r="CC9"/>
      <c r="CD9"/>
      <c r="CE9"/>
      <c r="CF9"/>
      <c r="CG9"/>
      <c r="CH9"/>
      <c r="CI9"/>
      <c r="CJ9"/>
      <c r="CK9"/>
      <c r="CL9"/>
      <c r="CM9"/>
      <c r="CN9"/>
      <c r="CO9"/>
      <c r="CP9"/>
      <c r="CQ9"/>
      <c r="CR9"/>
      <c r="CS9" s="14"/>
    </row>
    <row r="10" spans="1:97" x14ac:dyDescent="0.25">
      <c r="A10" s="6">
        <f>'Project Information'!$B$9</f>
        <v>2028</v>
      </c>
      <c r="B10" s="223">
        <f>AQ40</f>
        <v>584290.41345500713</v>
      </c>
      <c r="C10" s="223">
        <f>BM31</f>
        <v>1525342.888244902</v>
      </c>
      <c r="D10" s="223">
        <f>((B10*$AA$47)+(C10*$AA$48))</f>
        <v>908403717.75679922</v>
      </c>
      <c r="E10" s="223">
        <f>D10*$T$48</f>
        <v>317941301.21487969</v>
      </c>
      <c r="F10" s="223">
        <v>0</v>
      </c>
      <c r="G10" s="223">
        <f>(B10*$T$46*$W$55)+(C10*$T$46*$W$54)</f>
        <v>267280304.1905472</v>
      </c>
      <c r="H10" s="223">
        <v>0</v>
      </c>
      <c r="I10" s="223">
        <f>(B10*$T$47*$W$57)+(C10*$T$47*$W$56)</f>
        <v>72946385.426445618</v>
      </c>
      <c r="J10" s="223">
        <v>0</v>
      </c>
      <c r="K10" s="223">
        <f>I10/$S$34</f>
        <v>2917855.4170578248</v>
      </c>
      <c r="M10" s="13"/>
      <c r="N10" s="356" t="s">
        <v>243</v>
      </c>
      <c r="O10" s="357"/>
      <c r="P10" s="358"/>
      <c r="Q10"/>
      <c r="R10" s="356" t="s">
        <v>243</v>
      </c>
      <c r="S10" s="357"/>
      <c r="T10" s="358"/>
      <c r="U10"/>
      <c r="V10"/>
      <c r="W10"/>
      <c r="X10"/>
      <c r="Y10"/>
      <c r="Z10"/>
      <c r="AA10"/>
      <c r="AB10"/>
      <c r="AC10"/>
      <c r="AD10"/>
      <c r="AE10"/>
      <c r="AF10"/>
      <c r="AG10"/>
      <c r="AH10"/>
      <c r="AI10"/>
      <c r="AJ10"/>
      <c r="AK10"/>
      <c r="AL10"/>
      <c r="AM10"/>
      <c r="AN10"/>
      <c r="AO10"/>
      <c r="AP10"/>
      <c r="AQ10"/>
      <c r="AR10"/>
      <c r="AS10"/>
      <c r="AT10"/>
      <c r="AU10"/>
      <c r="AV10" s="193"/>
      <c r="AW10"/>
      <c r="AX10"/>
      <c r="AY10"/>
      <c r="AZ10"/>
      <c r="BA10"/>
      <c r="BB10"/>
      <c r="BC10"/>
      <c r="BD10"/>
      <c r="BE10"/>
      <c r="BF10"/>
      <c r="BG10"/>
      <c r="BH10"/>
      <c r="BI10"/>
      <c r="BJ10"/>
      <c r="BK10"/>
      <c r="BL10"/>
      <c r="BM10"/>
      <c r="BN10" s="186"/>
      <c r="BO10" s="186"/>
      <c r="BP10"/>
      <c r="BQ10"/>
      <c r="BR10"/>
      <c r="BS10"/>
      <c r="BT10"/>
      <c r="BU10"/>
      <c r="BV10"/>
      <c r="BW10"/>
      <c r="BX10"/>
      <c r="BY10"/>
      <c r="BZ10"/>
      <c r="CA10"/>
      <c r="CB10"/>
      <c r="CC10"/>
      <c r="CD10"/>
      <c r="CE10"/>
      <c r="CF10"/>
      <c r="CG10"/>
      <c r="CH10"/>
      <c r="CI10"/>
      <c r="CJ10"/>
      <c r="CK10"/>
      <c r="CL10"/>
      <c r="CM10"/>
      <c r="CN10"/>
      <c r="CO10"/>
      <c r="CP10"/>
      <c r="CQ10"/>
      <c r="CR10"/>
      <c r="CS10" s="14"/>
    </row>
    <row r="11" spans="1:97" x14ac:dyDescent="0.25">
      <c r="A11" s="1">
        <f>IF(A10&lt;'Project Information'!B$11,A10+1,"")</f>
        <v>2029</v>
      </c>
      <c r="B11" s="223">
        <f t="shared" ref="B11:B29" si="0">B10+(B10*$P$42)</f>
        <v>590133.31758955715</v>
      </c>
      <c r="C11" s="223">
        <f t="shared" ref="C11:C29" si="1">C10+(C10*$P$42)</f>
        <v>1540596.317127351</v>
      </c>
      <c r="D11" s="223">
        <f t="shared" ref="D11:D29" si="2">((B11*$AA$47)+(C11*$AA$48))</f>
        <v>917487754.93436718</v>
      </c>
      <c r="E11" s="223">
        <f t="shared" ref="E11:E29" si="3">D11*$T$48</f>
        <v>321120714.22702849</v>
      </c>
      <c r="F11" s="223">
        <v>0</v>
      </c>
      <c r="G11" s="223">
        <f t="shared" ref="G11:G29" si="4">(B11*$T$46*$W$55)+(C11*$T$46*$W$54)</f>
        <v>269953107.23245269</v>
      </c>
      <c r="H11" s="223">
        <v>0</v>
      </c>
      <c r="I11" s="223">
        <f t="shared" ref="I11:I29" si="5">(B11*$T$47*$W$57)+(C11*$T$47*$W$56)</f>
        <v>73675849.280710071</v>
      </c>
      <c r="J11" s="223">
        <v>0</v>
      </c>
      <c r="K11" s="223">
        <f t="shared" ref="K11:K29" si="6">I11/$S$34</f>
        <v>2947033.971228403</v>
      </c>
      <c r="M11" s="13"/>
      <c r="N11" s="353" t="s">
        <v>244</v>
      </c>
      <c r="O11" s="354"/>
      <c r="P11" s="355"/>
      <c r="Q11"/>
      <c r="R11" s="353" t="s">
        <v>245</v>
      </c>
      <c r="S11" s="354"/>
      <c r="T11" s="355"/>
      <c r="U11"/>
      <c r="V11"/>
      <c r="W11"/>
      <c r="X11" s="364" t="s">
        <v>244</v>
      </c>
      <c r="Y11" s="368"/>
      <c r="Z11" s="368"/>
      <c r="AA11" s="368"/>
      <c r="AB11" s="368"/>
      <c r="AC11" s="368"/>
      <c r="AD11" s="368"/>
      <c r="AE11" s="368"/>
      <c r="AF11" s="368"/>
      <c r="AG11" s="368"/>
      <c r="AH11" s="368"/>
      <c r="AI11" s="368"/>
      <c r="AJ11" s="368"/>
      <c r="AK11" s="368"/>
      <c r="AL11" s="368"/>
      <c r="AM11" s="368"/>
      <c r="AN11" s="368"/>
      <c r="AO11" s="368"/>
      <c r="AP11" s="368"/>
      <c r="AQ11" s="368"/>
      <c r="AR11" s="368"/>
      <c r="AS11" s="365"/>
      <c r="AT11"/>
      <c r="AU11"/>
      <c r="AV11" s="354" t="s">
        <v>246</v>
      </c>
      <c r="AW11" s="354"/>
      <c r="AX11" s="354"/>
      <c r="AY11" s="354"/>
      <c r="AZ11" s="354"/>
      <c r="BA11" s="354"/>
      <c r="BB11" s="354"/>
      <c r="BC11" s="354"/>
      <c r="BD11" s="354"/>
      <c r="BE11" s="354"/>
      <c r="BF11" s="354"/>
      <c r="BG11" s="354"/>
      <c r="BH11" s="354"/>
      <c r="BI11" s="354"/>
      <c r="BJ11" s="354"/>
      <c r="BK11" s="354"/>
      <c r="BL11" s="354"/>
      <c r="BM11" s="354"/>
      <c r="BN11" s="354"/>
      <c r="BO11" s="354"/>
      <c r="BP11"/>
      <c r="BQ11"/>
      <c r="BR11"/>
      <c r="BS11"/>
      <c r="BT11"/>
      <c r="BU11"/>
      <c r="BV11"/>
      <c r="BW11"/>
      <c r="BX11"/>
      <c r="BY11"/>
      <c r="BZ11"/>
      <c r="CA11"/>
      <c r="CB11"/>
      <c r="CC11"/>
      <c r="CD11"/>
      <c r="CE11"/>
      <c r="CF11"/>
      <c r="CG11"/>
      <c r="CH11"/>
      <c r="CI11"/>
      <c r="CJ11"/>
      <c r="CK11"/>
      <c r="CL11"/>
      <c r="CM11"/>
      <c r="CN11"/>
      <c r="CO11"/>
      <c r="CP11"/>
      <c r="CQ11"/>
      <c r="CR11"/>
      <c r="CS11" s="14"/>
    </row>
    <row r="12" spans="1:97" x14ac:dyDescent="0.25">
      <c r="A12" s="1">
        <f>IF(A11&lt;'Project Information'!B$11,A11+1,"")</f>
        <v>2030</v>
      </c>
      <c r="B12" s="223">
        <f t="shared" si="0"/>
        <v>596034.65076545277</v>
      </c>
      <c r="C12" s="223">
        <f t="shared" si="1"/>
        <v>1556002.2802986244</v>
      </c>
      <c r="D12" s="223">
        <f t="shared" si="2"/>
        <v>926662632.48371077</v>
      </c>
      <c r="E12" s="223">
        <f t="shared" si="3"/>
        <v>324331921.36929876</v>
      </c>
      <c r="F12" s="223">
        <v>0</v>
      </c>
      <c r="G12" s="223">
        <f t="shared" si="4"/>
        <v>272652638.3047772</v>
      </c>
      <c r="H12" s="223">
        <v>0</v>
      </c>
      <c r="I12" s="223">
        <f t="shared" si="5"/>
        <v>74412607.773517162</v>
      </c>
      <c r="J12" s="223">
        <v>0</v>
      </c>
      <c r="K12" s="223">
        <f t="shared" si="6"/>
        <v>2976504.3109406866</v>
      </c>
      <c r="M12" s="13"/>
      <c r="N12" s="205" t="s">
        <v>247</v>
      </c>
      <c r="O12" s="178" t="s">
        <v>62</v>
      </c>
      <c r="P12" s="206" t="s">
        <v>248</v>
      </c>
      <c r="Q12"/>
      <c r="R12" s="205" t="s">
        <v>247</v>
      </c>
      <c r="S12" s="178" t="s">
        <v>62</v>
      </c>
      <c r="T12" s="206" t="s">
        <v>248</v>
      </c>
      <c r="U12"/>
      <c r="V12"/>
      <c r="W12"/>
      <c r="X12" s="179" t="s">
        <v>247</v>
      </c>
      <c r="Y12" s="179" t="s">
        <v>62</v>
      </c>
      <c r="Z12" s="371" t="s">
        <v>249</v>
      </c>
      <c r="AA12" s="371"/>
      <c r="AB12" s="371"/>
      <c r="AC12" s="371" t="s">
        <v>250</v>
      </c>
      <c r="AD12" s="371"/>
      <c r="AE12" s="371"/>
      <c r="AF12" s="371" t="s">
        <v>251</v>
      </c>
      <c r="AG12" s="371"/>
      <c r="AH12" s="371" t="s">
        <v>252</v>
      </c>
      <c r="AI12" s="371"/>
      <c r="AJ12" s="371" t="s">
        <v>253</v>
      </c>
      <c r="AK12" s="371"/>
      <c r="AL12" s="242" t="s">
        <v>254</v>
      </c>
      <c r="AM12" s="242" t="s">
        <v>255</v>
      </c>
      <c r="AN12" s="242" t="s">
        <v>256</v>
      </c>
      <c r="AO12" s="242" t="s">
        <v>257</v>
      </c>
      <c r="AP12" s="242" t="s">
        <v>258</v>
      </c>
      <c r="AQ12" s="242" t="s">
        <v>259</v>
      </c>
      <c r="AR12" s="369" t="s">
        <v>260</v>
      </c>
      <c r="AS12" s="366" t="s">
        <v>261</v>
      </c>
      <c r="AT12"/>
      <c r="AU12"/>
      <c r="AV12" s="354" t="s">
        <v>247</v>
      </c>
      <c r="AW12" s="354"/>
      <c r="AX12" s="364" t="s">
        <v>249</v>
      </c>
      <c r="AY12" s="365"/>
      <c r="AZ12" s="364" t="s">
        <v>250</v>
      </c>
      <c r="BA12" s="365"/>
      <c r="BB12" s="364" t="s">
        <v>251</v>
      </c>
      <c r="BC12" s="365"/>
      <c r="BD12" s="364" t="s">
        <v>252</v>
      </c>
      <c r="BE12" s="365"/>
      <c r="BF12" s="364" t="s">
        <v>253</v>
      </c>
      <c r="BG12" s="365"/>
      <c r="BH12" s="242" t="s">
        <v>254</v>
      </c>
      <c r="BI12" s="242" t="s">
        <v>255</v>
      </c>
      <c r="BJ12" s="242" t="s">
        <v>256</v>
      </c>
      <c r="BK12" s="242" t="s">
        <v>257</v>
      </c>
      <c r="BL12" s="242" t="s">
        <v>258</v>
      </c>
      <c r="BM12" s="242" t="s">
        <v>259</v>
      </c>
      <c r="BN12" s="366" t="s">
        <v>248</v>
      </c>
      <c r="BO12" s="366" t="s">
        <v>261</v>
      </c>
      <c r="BP12"/>
      <c r="BQ12"/>
      <c r="BR12"/>
      <c r="BS12"/>
      <c r="BT12"/>
      <c r="BU12"/>
      <c r="BV12"/>
      <c r="BW12"/>
      <c r="BX12"/>
      <c r="BY12"/>
      <c r="BZ12"/>
      <c r="CA12"/>
      <c r="CB12"/>
      <c r="CC12"/>
      <c r="CD12"/>
      <c r="CE12"/>
      <c r="CF12"/>
      <c r="CG12"/>
      <c r="CH12"/>
      <c r="CI12"/>
      <c r="CJ12"/>
      <c r="CK12"/>
      <c r="CL12"/>
      <c r="CM12"/>
      <c r="CN12"/>
      <c r="CO12"/>
      <c r="CP12"/>
      <c r="CQ12"/>
      <c r="CR12"/>
      <c r="CS12" s="14"/>
    </row>
    <row r="13" spans="1:97" x14ac:dyDescent="0.25">
      <c r="A13" s="1">
        <f>IF(A12&lt;'Project Information'!B$11,A12+1,"")</f>
        <v>2031</v>
      </c>
      <c r="B13" s="223">
        <f t="shared" si="0"/>
        <v>601994.99727310729</v>
      </c>
      <c r="C13" s="223">
        <f t="shared" si="1"/>
        <v>1571562.3031016106</v>
      </c>
      <c r="D13" s="223">
        <f t="shared" si="2"/>
        <v>935929258.80854785</v>
      </c>
      <c r="E13" s="223">
        <f t="shared" si="3"/>
        <v>327575240.58299172</v>
      </c>
      <c r="F13" s="223">
        <v>0</v>
      </c>
      <c r="G13" s="223">
        <f t="shared" si="4"/>
        <v>275379164.68782496</v>
      </c>
      <c r="H13" s="223">
        <v>0</v>
      </c>
      <c r="I13" s="223">
        <f t="shared" si="5"/>
        <v>75156733.851252347</v>
      </c>
      <c r="J13" s="223">
        <v>0</v>
      </c>
      <c r="K13" s="223">
        <f t="shared" si="6"/>
        <v>3006269.3540500938</v>
      </c>
      <c r="M13" s="13"/>
      <c r="N13" s="207" t="s">
        <v>262</v>
      </c>
      <c r="O13" s="180" t="s">
        <v>263</v>
      </c>
      <c r="P13" s="208">
        <f>AR14</f>
        <v>9695.6469774502712</v>
      </c>
      <c r="Q13"/>
      <c r="R13" s="212" t="s">
        <v>264</v>
      </c>
      <c r="S13" s="180"/>
      <c r="T13" s="213"/>
      <c r="U13"/>
      <c r="V13"/>
      <c r="W13"/>
      <c r="X13" s="180"/>
      <c r="Y13" s="180"/>
      <c r="Z13" s="178" t="s">
        <v>265</v>
      </c>
      <c r="AA13" s="178" t="s">
        <v>266</v>
      </c>
      <c r="AB13" s="178" t="s">
        <v>267</v>
      </c>
      <c r="AC13" s="178" t="s">
        <v>265</v>
      </c>
      <c r="AD13" s="178" t="s">
        <v>266</v>
      </c>
      <c r="AE13" s="178" t="s">
        <v>267</v>
      </c>
      <c r="AF13" s="178" t="s">
        <v>266</v>
      </c>
      <c r="AG13" s="178" t="s">
        <v>267</v>
      </c>
      <c r="AH13" s="178" t="s">
        <v>266</v>
      </c>
      <c r="AI13" s="178" t="s">
        <v>267</v>
      </c>
      <c r="AJ13" s="178" t="s">
        <v>266</v>
      </c>
      <c r="AK13" s="178" t="s">
        <v>267</v>
      </c>
      <c r="AL13" s="236"/>
      <c r="AM13" s="236"/>
      <c r="AN13" s="236"/>
      <c r="AO13" s="236"/>
      <c r="AP13" s="236"/>
      <c r="AQ13" s="236"/>
      <c r="AR13" s="370"/>
      <c r="AS13" s="367"/>
      <c r="AT13"/>
      <c r="AU13"/>
      <c r="AV13" s="354"/>
      <c r="AW13" s="354"/>
      <c r="AX13" s="178" t="s">
        <v>266</v>
      </c>
      <c r="AY13" s="178" t="s">
        <v>267</v>
      </c>
      <c r="AZ13" s="178" t="s">
        <v>266</v>
      </c>
      <c r="BA13" s="178" t="s">
        <v>267</v>
      </c>
      <c r="BB13" s="178" t="s">
        <v>266</v>
      </c>
      <c r="BC13" s="178" t="s">
        <v>267</v>
      </c>
      <c r="BD13" s="178" t="s">
        <v>266</v>
      </c>
      <c r="BE13" s="178" t="s">
        <v>267</v>
      </c>
      <c r="BF13" s="178" t="s">
        <v>266</v>
      </c>
      <c r="BG13" s="178" t="s">
        <v>267</v>
      </c>
      <c r="BH13" s="236"/>
      <c r="BI13" s="236"/>
      <c r="BJ13" s="236"/>
      <c r="BK13" s="236"/>
      <c r="BL13" s="236"/>
      <c r="BM13" s="236"/>
      <c r="BN13" s="367"/>
      <c r="BO13" s="367"/>
      <c r="BP13"/>
      <c r="BQ13"/>
      <c r="BR13"/>
      <c r="BS13"/>
      <c r="BT13"/>
      <c r="BU13"/>
      <c r="BV13"/>
      <c r="BW13"/>
      <c r="BX13"/>
      <c r="BY13"/>
      <c r="BZ13"/>
      <c r="CA13"/>
      <c r="CB13"/>
      <c r="CC13"/>
      <c r="CD13"/>
      <c r="CE13"/>
      <c r="CF13"/>
      <c r="CG13"/>
      <c r="CH13"/>
      <c r="CI13"/>
      <c r="CJ13"/>
      <c r="CK13"/>
      <c r="CL13"/>
      <c r="CM13"/>
      <c r="CN13"/>
      <c r="CO13"/>
      <c r="CP13"/>
      <c r="CQ13"/>
      <c r="CR13"/>
      <c r="CS13" s="14"/>
    </row>
    <row r="14" spans="1:97" x14ac:dyDescent="0.25">
      <c r="A14" s="1">
        <f>IF(A13&lt;'Project Information'!B$11,A13+1,"")</f>
        <v>2032</v>
      </c>
      <c r="B14" s="223">
        <f t="shared" si="0"/>
        <v>608014.94724583835</v>
      </c>
      <c r="C14" s="223">
        <f t="shared" si="1"/>
        <v>1587277.9261326268</v>
      </c>
      <c r="D14" s="223">
        <f t="shared" si="2"/>
        <v>945288551.39663339</v>
      </c>
      <c r="E14" s="223">
        <f t="shared" si="3"/>
        <v>330850992.98882169</v>
      </c>
      <c r="F14" s="223">
        <v>0</v>
      </c>
      <c r="G14" s="223">
        <f t="shared" si="4"/>
        <v>278132956.33470321</v>
      </c>
      <c r="H14" s="223">
        <v>0</v>
      </c>
      <c r="I14" s="223">
        <f t="shared" si="5"/>
        <v>75908301.189764857</v>
      </c>
      <c r="J14" s="223">
        <v>0</v>
      </c>
      <c r="K14" s="223">
        <f t="shared" si="6"/>
        <v>3036332.0475905943</v>
      </c>
      <c r="M14" s="13"/>
      <c r="N14" s="207" t="s">
        <v>268</v>
      </c>
      <c r="O14" s="180" t="s">
        <v>269</v>
      </c>
      <c r="P14" s="208">
        <f t="shared" ref="P14:P39" si="7">AR15</f>
        <v>2444.1954317553518</v>
      </c>
      <c r="Q14"/>
      <c r="R14" s="214" t="s">
        <v>270</v>
      </c>
      <c r="S14" s="180" t="s">
        <v>271</v>
      </c>
      <c r="T14" s="208">
        <f>BN15</f>
        <v>4544.8874154767236</v>
      </c>
      <c r="U14"/>
      <c r="V14"/>
      <c r="W14"/>
      <c r="X14" s="180" t="s">
        <v>262</v>
      </c>
      <c r="Y14" s="180" t="s">
        <v>263</v>
      </c>
      <c r="Z14" s="182">
        <v>1.84E-2</v>
      </c>
      <c r="AA14" s="183">
        <v>12112.801144000001</v>
      </c>
      <c r="AB14" s="183">
        <v>4760330.8495920002</v>
      </c>
      <c r="AC14" s="182" t="s">
        <v>30</v>
      </c>
      <c r="AD14" s="183" t="s">
        <v>30</v>
      </c>
      <c r="AE14" s="183" t="s">
        <v>30</v>
      </c>
      <c r="AF14" s="183" t="s">
        <v>30</v>
      </c>
      <c r="AG14" s="183" t="s">
        <v>30</v>
      </c>
      <c r="AH14" s="183">
        <v>4567.1397883508125</v>
      </c>
      <c r="AI14" s="183">
        <v>1794885.9368218693</v>
      </c>
      <c r="AJ14" s="183">
        <v>12407</v>
      </c>
      <c r="AK14" s="183">
        <v>4875951</v>
      </c>
      <c r="AL14" s="183"/>
      <c r="AM14" s="183"/>
      <c r="AN14" s="183"/>
      <c r="AO14" s="183"/>
      <c r="AP14" s="183"/>
      <c r="AQ14" s="183"/>
      <c r="AR14" s="183">
        <f>AVERAGE(AA14,AD14,AF14,AH14,AJ14)</f>
        <v>9695.6469774502712</v>
      </c>
      <c r="AS14" s="183">
        <f>AVERAGE(AB14,AE14,AG14,AI14,AK14)</f>
        <v>3810389.2621379569</v>
      </c>
      <c r="AT14"/>
      <c r="AU14"/>
      <c r="AV14" s="363" t="s">
        <v>264</v>
      </c>
      <c r="AW14" s="363"/>
      <c r="AX14" s="363"/>
      <c r="AY14" s="363"/>
      <c r="AZ14" s="363"/>
      <c r="BA14" s="363"/>
      <c r="BB14" s="363"/>
      <c r="BC14" s="363"/>
      <c r="BD14" s="363"/>
      <c r="BE14" s="363"/>
      <c r="BF14" s="363"/>
      <c r="BG14" s="363"/>
      <c r="BH14" s="363"/>
      <c r="BI14" s="363"/>
      <c r="BJ14" s="363"/>
      <c r="BK14" s="363"/>
      <c r="BL14" s="363"/>
      <c r="BM14" s="363"/>
      <c r="BN14" s="363"/>
      <c r="BO14" s="363"/>
      <c r="BP14"/>
      <c r="BQ14"/>
      <c r="BR14"/>
      <c r="BS14"/>
      <c r="BT14"/>
      <c r="BU14"/>
      <c r="BV14"/>
      <c r="BW14"/>
      <c r="BX14"/>
      <c r="BY14"/>
      <c r="BZ14"/>
      <c r="CA14"/>
      <c r="CB14"/>
      <c r="CC14"/>
      <c r="CD14"/>
      <c r="CE14"/>
      <c r="CF14"/>
      <c r="CG14"/>
      <c r="CH14"/>
      <c r="CI14"/>
      <c r="CJ14"/>
      <c r="CK14"/>
      <c r="CL14"/>
      <c r="CM14"/>
      <c r="CN14"/>
      <c r="CO14"/>
      <c r="CP14"/>
      <c r="CQ14"/>
      <c r="CR14"/>
      <c r="CS14" s="14"/>
    </row>
    <row r="15" spans="1:97" x14ac:dyDescent="0.25">
      <c r="A15" s="1">
        <f>IF(A14&lt;'Project Information'!B$11,A14+1,"")</f>
        <v>2033</v>
      </c>
      <c r="B15" s="223">
        <f t="shared" si="0"/>
        <v>614095.09671829676</v>
      </c>
      <c r="C15" s="223">
        <f t="shared" si="1"/>
        <v>1603150.705393953</v>
      </c>
      <c r="D15" s="223">
        <f t="shared" si="2"/>
        <v>954741436.91059971</v>
      </c>
      <c r="E15" s="223">
        <f t="shared" si="3"/>
        <v>334159502.91870987</v>
      </c>
      <c r="F15" s="223">
        <v>0</v>
      </c>
      <c r="G15" s="223">
        <f t="shared" si="4"/>
        <v>280914285.89805025</v>
      </c>
      <c r="H15" s="223">
        <v>0</v>
      </c>
      <c r="I15" s="223">
        <f t="shared" si="5"/>
        <v>76667384.201662511</v>
      </c>
      <c r="J15" s="223">
        <v>0</v>
      </c>
      <c r="K15" s="223">
        <f t="shared" si="6"/>
        <v>3066695.3680665004</v>
      </c>
      <c r="M15" s="13"/>
      <c r="N15" s="207" t="s">
        <v>272</v>
      </c>
      <c r="O15" s="180" t="s">
        <v>263</v>
      </c>
      <c r="P15" s="208">
        <f t="shared" si="7"/>
        <v>3427.0647681966457</v>
      </c>
      <c r="Q15"/>
      <c r="R15" s="214" t="s">
        <v>273</v>
      </c>
      <c r="S15" s="180" t="s">
        <v>274</v>
      </c>
      <c r="T15" s="208">
        <f t="shared" ref="T15:T30" si="8">BN16</f>
        <v>371665.91361448716</v>
      </c>
      <c r="U15"/>
      <c r="V15"/>
      <c r="W15"/>
      <c r="X15" s="180" t="s">
        <v>268</v>
      </c>
      <c r="Y15" s="180" t="s">
        <v>269</v>
      </c>
      <c r="Z15" s="182" t="s">
        <v>30</v>
      </c>
      <c r="AA15" s="183" t="s">
        <v>30</v>
      </c>
      <c r="AB15" s="183" t="s">
        <v>30</v>
      </c>
      <c r="AC15" s="182"/>
      <c r="AD15" s="183"/>
      <c r="AE15" s="183">
        <v>0</v>
      </c>
      <c r="AF15" s="183">
        <v>3125.22</v>
      </c>
      <c r="AG15" s="183">
        <v>1228211.46</v>
      </c>
      <c r="AH15" s="183">
        <v>1178.3662952660561</v>
      </c>
      <c r="AI15" s="183">
        <v>463097.95403956005</v>
      </c>
      <c r="AJ15" s="183">
        <v>3029</v>
      </c>
      <c r="AK15" s="183">
        <v>1190397</v>
      </c>
      <c r="AL15" s="183"/>
      <c r="AM15" s="183"/>
      <c r="AN15" s="183"/>
      <c r="AO15" s="183"/>
      <c r="AP15" s="183"/>
      <c r="AQ15" s="183"/>
      <c r="AR15" s="183">
        <f t="shared" ref="AR15:AR39" si="9">AVERAGE(AA15,AD15,AF15,AH15,AJ15)</f>
        <v>2444.1954317553518</v>
      </c>
      <c r="AS15" s="183">
        <f t="shared" ref="AS15:AS40" si="10">AVERAGE(AB15,AE15,AG15,AI15,AK15)</f>
        <v>720426.60350989003</v>
      </c>
      <c r="AT15"/>
      <c r="AU15"/>
      <c r="AV15" s="198" t="s">
        <v>270</v>
      </c>
      <c r="AW15" s="181" t="s">
        <v>271</v>
      </c>
      <c r="AX15" s="183" t="s">
        <v>30</v>
      </c>
      <c r="AY15" s="183" t="s">
        <v>30</v>
      </c>
      <c r="AZ15" s="183" t="s">
        <v>30</v>
      </c>
      <c r="BA15" s="183" t="s">
        <v>30</v>
      </c>
      <c r="BB15" s="183">
        <v>6770</v>
      </c>
      <c r="BC15" s="183">
        <v>3012650</v>
      </c>
      <c r="BD15" s="183">
        <v>2319.7748309534463</v>
      </c>
      <c r="BE15" s="183">
        <v>1032299.7997742837</v>
      </c>
      <c r="BF15" s="183"/>
      <c r="BG15" s="183">
        <v>0</v>
      </c>
      <c r="BH15" s="183"/>
      <c r="BI15" s="183"/>
      <c r="BJ15" s="183"/>
      <c r="BK15" s="183"/>
      <c r="BL15" s="183"/>
      <c r="BM15" s="183"/>
      <c r="BN15" s="183">
        <f>AVERAGE(AX15,AZ15,BB15,BD15,BF15)</f>
        <v>4544.8874154767236</v>
      </c>
      <c r="BO15" s="183">
        <f>AVERAGE(AY15,BA15,BC15,BE15,BG15)</f>
        <v>1348316.5999247611</v>
      </c>
      <c r="BP15"/>
      <c r="BQ15"/>
      <c r="BR15"/>
      <c r="BS15"/>
      <c r="BT15"/>
      <c r="BU15"/>
      <c r="BV15"/>
      <c r="BW15"/>
      <c r="BX15"/>
      <c r="BY15"/>
      <c r="BZ15"/>
      <c r="CA15"/>
      <c r="CB15"/>
      <c r="CC15"/>
      <c r="CD15"/>
      <c r="CE15"/>
      <c r="CF15"/>
      <c r="CG15"/>
      <c r="CH15"/>
      <c r="CI15"/>
      <c r="CJ15"/>
      <c r="CK15"/>
      <c r="CL15"/>
      <c r="CM15"/>
      <c r="CN15"/>
      <c r="CO15"/>
      <c r="CP15"/>
      <c r="CQ15"/>
      <c r="CR15"/>
      <c r="CS15" s="14"/>
    </row>
    <row r="16" spans="1:97" x14ac:dyDescent="0.25">
      <c r="A16" s="1">
        <f>IF(A15&lt;'Project Information'!B$11,A15+1,"")</f>
        <v>2034</v>
      </c>
      <c r="B16" s="223">
        <f t="shared" si="0"/>
        <v>620236.04768547975</v>
      </c>
      <c r="C16" s="223">
        <f t="shared" si="1"/>
        <v>1619182.2124478926</v>
      </c>
      <c r="D16" s="223">
        <f t="shared" si="2"/>
        <v>964288851.27970576</v>
      </c>
      <c r="E16" s="223">
        <f t="shared" si="3"/>
        <v>337501097.94789702</v>
      </c>
      <c r="F16" s="223">
        <v>0</v>
      </c>
      <c r="G16" s="223">
        <f t="shared" si="4"/>
        <v>283723428.75703073</v>
      </c>
      <c r="H16" s="223">
        <v>0</v>
      </c>
      <c r="I16" s="223">
        <f t="shared" si="5"/>
        <v>77434058.043679148</v>
      </c>
      <c r="J16" s="223">
        <v>0</v>
      </c>
      <c r="K16" s="223">
        <f t="shared" si="6"/>
        <v>3097362.3217471661</v>
      </c>
      <c r="M16" s="13"/>
      <c r="N16" s="207" t="s">
        <v>275</v>
      </c>
      <c r="O16" s="180" t="s">
        <v>276</v>
      </c>
      <c r="P16" s="208">
        <f t="shared" si="7"/>
        <v>1133.344131311577</v>
      </c>
      <c r="Q16"/>
      <c r="R16" s="214" t="s">
        <v>277</v>
      </c>
      <c r="S16" s="180" t="s">
        <v>274</v>
      </c>
      <c r="T16" s="208">
        <f t="shared" si="8"/>
        <v>66390.046971706397</v>
      </c>
      <c r="U16"/>
      <c r="V16"/>
      <c r="W16"/>
      <c r="X16" s="180" t="s">
        <v>272</v>
      </c>
      <c r="Y16" s="180" t="s">
        <v>263</v>
      </c>
      <c r="Z16" s="182">
        <v>5.0000000000000001E-3</v>
      </c>
      <c r="AA16" s="183">
        <v>3291.52205</v>
      </c>
      <c r="AB16" s="183">
        <v>1293568.1656500001</v>
      </c>
      <c r="AC16" s="182">
        <v>1.11E-2</v>
      </c>
      <c r="AD16" s="183">
        <v>3513.674364</v>
      </c>
      <c r="AE16" s="183">
        <v>1380874.0250520001</v>
      </c>
      <c r="AF16" s="183">
        <v>3149.6</v>
      </c>
      <c r="AG16" s="183">
        <v>1237792.8</v>
      </c>
      <c r="AH16" s="183">
        <v>3753.4626587865819</v>
      </c>
      <c r="AI16" s="183">
        <v>1475110.8249031266</v>
      </c>
      <c r="AJ16" s="183"/>
      <c r="AK16" s="183">
        <v>0</v>
      </c>
      <c r="AL16" s="183"/>
      <c r="AM16" s="183"/>
      <c r="AN16" s="183"/>
      <c r="AO16" s="183"/>
      <c r="AP16" s="183"/>
      <c r="AQ16" s="183"/>
      <c r="AR16" s="183">
        <f t="shared" si="9"/>
        <v>3427.0647681966457</v>
      </c>
      <c r="AS16" s="183">
        <f t="shared" si="10"/>
        <v>1077469.1631210255</v>
      </c>
      <c r="AT16"/>
      <c r="AU16"/>
      <c r="AV16" s="198" t="s">
        <v>273</v>
      </c>
      <c r="AW16" s="181" t="s">
        <v>274</v>
      </c>
      <c r="AX16" s="183">
        <v>426966</v>
      </c>
      <c r="AY16" s="183">
        <v>189999870</v>
      </c>
      <c r="AZ16" s="183">
        <v>303440</v>
      </c>
      <c r="BA16" s="183">
        <v>135030800</v>
      </c>
      <c r="BB16" s="183">
        <v>441754</v>
      </c>
      <c r="BC16" s="183">
        <v>196580530</v>
      </c>
      <c r="BD16" s="183">
        <v>401646.56807243603</v>
      </c>
      <c r="BE16" s="183">
        <v>178732722.79223403</v>
      </c>
      <c r="BF16" s="183">
        <v>284523</v>
      </c>
      <c r="BG16" s="183">
        <v>126612735</v>
      </c>
      <c r="BH16" s="183"/>
      <c r="BI16" s="183"/>
      <c r="BJ16" s="183"/>
      <c r="BK16" s="183"/>
      <c r="BL16" s="183"/>
      <c r="BM16" s="183"/>
      <c r="BN16" s="183">
        <f t="shared" ref="BN16:BN30" si="11">AVERAGE(AX16,AZ16,BB16,BD16,BF16)</f>
        <v>371665.91361448716</v>
      </c>
      <c r="BO16" s="183">
        <f t="shared" ref="BO16:BO31" si="12">AVERAGE(AY16,BA16,BC16,BE16,BG16)</f>
        <v>165391331.55844682</v>
      </c>
      <c r="BP16"/>
      <c r="BQ16"/>
      <c r="BR16"/>
      <c r="BS16"/>
      <c r="BT16"/>
      <c r="BU16"/>
      <c r="BV16"/>
      <c r="BW16"/>
      <c r="BX16"/>
      <c r="BY16"/>
      <c r="BZ16"/>
      <c r="CA16"/>
      <c r="CB16"/>
      <c r="CC16"/>
      <c r="CD16"/>
      <c r="CE16"/>
      <c r="CF16"/>
      <c r="CG16"/>
      <c r="CH16"/>
      <c r="CI16"/>
      <c r="CJ16"/>
      <c r="CK16"/>
      <c r="CL16"/>
      <c r="CM16"/>
      <c r="CN16"/>
      <c r="CO16"/>
      <c r="CP16"/>
      <c r="CQ16"/>
      <c r="CR16"/>
      <c r="CS16" s="14"/>
    </row>
    <row r="17" spans="1:97" x14ac:dyDescent="0.25">
      <c r="A17" s="1">
        <f>IF(A16&lt;'Project Information'!B$11,A16+1,"")</f>
        <v>2035</v>
      </c>
      <c r="B17" s="223">
        <f t="shared" si="0"/>
        <v>626438.40816233458</v>
      </c>
      <c r="C17" s="223">
        <f t="shared" si="1"/>
        <v>1635374.0345723715</v>
      </c>
      <c r="D17" s="223">
        <f t="shared" si="2"/>
        <v>973931739.79250276</v>
      </c>
      <c r="E17" s="223">
        <f t="shared" si="3"/>
        <v>340876108.92737597</v>
      </c>
      <c r="F17" s="223">
        <v>0</v>
      </c>
      <c r="G17" s="223">
        <f t="shared" si="4"/>
        <v>286560663.04460108</v>
      </c>
      <c r="H17" s="223">
        <v>0</v>
      </c>
      <c r="I17" s="223">
        <f t="shared" si="5"/>
        <v>78208398.624115929</v>
      </c>
      <c r="J17" s="223">
        <v>0</v>
      </c>
      <c r="K17" s="223">
        <f t="shared" si="6"/>
        <v>3128335.944964637</v>
      </c>
      <c r="M17" s="13"/>
      <c r="N17" s="207" t="s">
        <v>278</v>
      </c>
      <c r="O17" s="180" t="s">
        <v>269</v>
      </c>
      <c r="P17" s="208">
        <f t="shared" si="7"/>
        <v>18766.872421809971</v>
      </c>
      <c r="Q17"/>
      <c r="R17" s="214" t="s">
        <v>279</v>
      </c>
      <c r="S17" s="180" t="s">
        <v>271</v>
      </c>
      <c r="T17" s="208">
        <f t="shared" si="8"/>
        <v>6217.0240169505178</v>
      </c>
      <c r="U17"/>
      <c r="V17"/>
      <c r="W17"/>
      <c r="X17" s="180" t="s">
        <v>275</v>
      </c>
      <c r="Y17" s="180" t="s">
        <v>276</v>
      </c>
      <c r="Z17" s="182" t="s">
        <v>30</v>
      </c>
      <c r="AA17" s="183" t="s">
        <v>30</v>
      </c>
      <c r="AB17" s="183" t="s">
        <v>30</v>
      </c>
      <c r="AC17" s="182">
        <v>5.1999999999999998E-3</v>
      </c>
      <c r="AD17" s="183">
        <v>1646.0456479999998</v>
      </c>
      <c r="AE17" s="183">
        <v>646895.93966399995</v>
      </c>
      <c r="AF17" s="183" t="s">
        <v>30</v>
      </c>
      <c r="AG17" s="183" t="s">
        <v>30</v>
      </c>
      <c r="AH17" s="183">
        <v>620.64261462315437</v>
      </c>
      <c r="AI17" s="183">
        <v>243912.54754689967</v>
      </c>
      <c r="AJ17" s="183"/>
      <c r="AK17" s="183">
        <v>0</v>
      </c>
      <c r="AL17" s="183"/>
      <c r="AM17" s="183"/>
      <c r="AN17" s="183"/>
      <c r="AO17" s="183"/>
      <c r="AP17" s="183"/>
      <c r="AQ17" s="183"/>
      <c r="AR17" s="183">
        <f t="shared" si="9"/>
        <v>1133.344131311577</v>
      </c>
      <c r="AS17" s="183">
        <f t="shared" si="10"/>
        <v>296936.16240363318</v>
      </c>
      <c r="AT17"/>
      <c r="AU17"/>
      <c r="AV17" s="198" t="s">
        <v>277</v>
      </c>
      <c r="AW17" s="181" t="s">
        <v>274</v>
      </c>
      <c r="AX17" s="183">
        <v>74604</v>
      </c>
      <c r="AY17" s="183">
        <v>33198780</v>
      </c>
      <c r="AZ17" s="183">
        <v>41806</v>
      </c>
      <c r="BA17" s="183">
        <v>18603670</v>
      </c>
      <c r="BB17" s="183">
        <v>91123</v>
      </c>
      <c r="BC17" s="183">
        <v>40549735</v>
      </c>
      <c r="BD17" s="183">
        <v>71112.234858532</v>
      </c>
      <c r="BE17" s="183">
        <v>31644944.512046739</v>
      </c>
      <c r="BF17" s="183">
        <v>53305</v>
      </c>
      <c r="BG17" s="183">
        <v>23720725</v>
      </c>
      <c r="BH17" s="183"/>
      <c r="BI17" s="183"/>
      <c r="BJ17" s="183"/>
      <c r="BK17" s="183"/>
      <c r="BL17" s="183"/>
      <c r="BM17" s="183"/>
      <c r="BN17" s="183">
        <f t="shared" si="11"/>
        <v>66390.046971706397</v>
      </c>
      <c r="BO17" s="183">
        <f t="shared" si="12"/>
        <v>29543570.902409352</v>
      </c>
      <c r="BP17"/>
      <c r="BQ17"/>
      <c r="BR17"/>
      <c r="BS17"/>
      <c r="BT17"/>
      <c r="BU17"/>
      <c r="BV17"/>
      <c r="BW17"/>
      <c r="BX17"/>
      <c r="BY17"/>
      <c r="BZ17"/>
      <c r="CA17"/>
      <c r="CB17"/>
      <c r="CC17"/>
      <c r="CD17"/>
      <c r="CE17"/>
      <c r="CF17"/>
      <c r="CG17"/>
      <c r="CH17"/>
      <c r="CI17"/>
      <c r="CJ17"/>
      <c r="CK17"/>
      <c r="CL17"/>
      <c r="CM17"/>
      <c r="CN17"/>
      <c r="CO17"/>
      <c r="CP17"/>
      <c r="CQ17"/>
      <c r="CR17"/>
      <c r="CS17" s="14"/>
    </row>
    <row r="18" spans="1:97" x14ac:dyDescent="0.25">
      <c r="A18" s="1">
        <f>IF(A17&lt;'Project Information'!B$11,A17+1,"")</f>
        <v>2036</v>
      </c>
      <c r="B18" s="223">
        <f t="shared" si="0"/>
        <v>632702.79224395799</v>
      </c>
      <c r="C18" s="223">
        <f t="shared" si="1"/>
        <v>1651727.7749180952</v>
      </c>
      <c r="D18" s="223">
        <f t="shared" si="2"/>
        <v>983671057.19042778</v>
      </c>
      <c r="E18" s="223">
        <f t="shared" si="3"/>
        <v>344284870.01664972</v>
      </c>
      <c r="F18" s="223">
        <v>0</v>
      </c>
      <c r="G18" s="223">
        <f t="shared" si="4"/>
        <v>289426269.6750471</v>
      </c>
      <c r="H18" s="223">
        <v>0</v>
      </c>
      <c r="I18" s="223">
        <f t="shared" si="5"/>
        <v>78990482.610357091</v>
      </c>
      <c r="J18" s="223">
        <v>0</v>
      </c>
      <c r="K18" s="223">
        <f t="shared" si="6"/>
        <v>3159619.3044142835</v>
      </c>
      <c r="M18" s="13"/>
      <c r="N18" s="207" t="s">
        <v>280</v>
      </c>
      <c r="O18" s="180" t="s">
        <v>269</v>
      </c>
      <c r="P18" s="208">
        <f t="shared" si="7"/>
        <v>1037.545712653729</v>
      </c>
      <c r="Q18"/>
      <c r="R18" s="214" t="s">
        <v>281</v>
      </c>
      <c r="S18" s="180" t="s">
        <v>274</v>
      </c>
      <c r="T18" s="208">
        <f t="shared" si="8"/>
        <v>0</v>
      </c>
      <c r="U18"/>
      <c r="V18"/>
      <c r="W18"/>
      <c r="X18" s="180" t="s">
        <v>278</v>
      </c>
      <c r="Y18" s="180" t="s">
        <v>269</v>
      </c>
      <c r="Z18" s="182">
        <v>8.77E-2</v>
      </c>
      <c r="AA18" s="183">
        <v>57733.296757000004</v>
      </c>
      <c r="AB18" s="183">
        <v>22689185.625501003</v>
      </c>
      <c r="AC18" s="182">
        <v>5.4999999999999997E-3</v>
      </c>
      <c r="AD18" s="183">
        <v>1741.0098199999998</v>
      </c>
      <c r="AE18" s="183">
        <v>684216.85925999994</v>
      </c>
      <c r="AF18" s="183">
        <v>6286.79</v>
      </c>
      <c r="AG18" s="183">
        <v>2470708.4700000002</v>
      </c>
      <c r="AH18" s="183">
        <v>24795.265532049845</v>
      </c>
      <c r="AI18" s="183">
        <v>9744539.3540955894</v>
      </c>
      <c r="AJ18" s="183">
        <v>3278</v>
      </c>
      <c r="AK18" s="183">
        <v>1288254</v>
      </c>
      <c r="AL18" s="183"/>
      <c r="AM18" s="183"/>
      <c r="AN18" s="183"/>
      <c r="AO18" s="183"/>
      <c r="AP18" s="183"/>
      <c r="AQ18" s="183"/>
      <c r="AR18" s="183">
        <f t="shared" si="9"/>
        <v>18766.872421809971</v>
      </c>
      <c r="AS18" s="183">
        <f t="shared" si="10"/>
        <v>7375380.8617713181</v>
      </c>
      <c r="AT18"/>
      <c r="AU18"/>
      <c r="AV18" s="198" t="s">
        <v>279</v>
      </c>
      <c r="AW18" s="181" t="s">
        <v>271</v>
      </c>
      <c r="AX18" s="183">
        <v>1440</v>
      </c>
      <c r="AY18" s="183">
        <v>640800</v>
      </c>
      <c r="AZ18" s="183">
        <v>2825</v>
      </c>
      <c r="BA18" s="183">
        <v>1257125</v>
      </c>
      <c r="BB18" s="183">
        <v>1362</v>
      </c>
      <c r="BC18" s="183">
        <v>606090</v>
      </c>
      <c r="BD18" s="183">
        <v>1928.1200847525911</v>
      </c>
      <c r="BE18" s="183">
        <v>858013.43771490303</v>
      </c>
      <c r="BF18" s="183">
        <v>23530</v>
      </c>
      <c r="BG18" s="183">
        <v>10470850</v>
      </c>
      <c r="BH18" s="183"/>
      <c r="BI18" s="183"/>
      <c r="BJ18" s="183"/>
      <c r="BK18" s="183"/>
      <c r="BL18" s="183"/>
      <c r="BM18" s="183"/>
      <c r="BN18" s="183">
        <f t="shared" si="11"/>
        <v>6217.0240169505178</v>
      </c>
      <c r="BO18" s="183">
        <f t="shared" si="12"/>
        <v>2766575.6875429805</v>
      </c>
      <c r="BP18"/>
      <c r="BQ18"/>
      <c r="BR18"/>
      <c r="BS18"/>
      <c r="BT18"/>
      <c r="BU18"/>
      <c r="BV18"/>
      <c r="BW18"/>
      <c r="BX18"/>
      <c r="BY18"/>
      <c r="BZ18"/>
      <c r="CA18"/>
      <c r="CB18"/>
      <c r="CC18"/>
      <c r="CD18"/>
      <c r="CE18"/>
      <c r="CF18"/>
      <c r="CG18"/>
      <c r="CH18"/>
      <c r="CI18"/>
      <c r="CJ18"/>
      <c r="CK18"/>
      <c r="CL18"/>
      <c r="CM18"/>
      <c r="CN18"/>
      <c r="CO18"/>
      <c r="CP18"/>
      <c r="CQ18"/>
      <c r="CR18"/>
      <c r="CS18" s="14"/>
    </row>
    <row r="19" spans="1:97" x14ac:dyDescent="0.25">
      <c r="A19" s="1">
        <f>IF(A18&lt;'Project Information'!B$11,A18+1,"")</f>
        <v>2037</v>
      </c>
      <c r="B19" s="223">
        <f t="shared" si="0"/>
        <v>639029.82016639761</v>
      </c>
      <c r="C19" s="223">
        <f t="shared" si="1"/>
        <v>1668245.0526672762</v>
      </c>
      <c r="D19" s="223">
        <f t="shared" si="2"/>
        <v>993507767.7623322</v>
      </c>
      <c r="E19" s="223">
        <f t="shared" si="3"/>
        <v>347727718.71681625</v>
      </c>
      <c r="F19" s="223">
        <v>0</v>
      </c>
      <c r="G19" s="223">
        <f t="shared" si="4"/>
        <v>292320532.37179756</v>
      </c>
      <c r="H19" s="223">
        <v>0</v>
      </c>
      <c r="I19" s="223">
        <f t="shared" si="5"/>
        <v>79780387.436460659</v>
      </c>
      <c r="J19" s="223">
        <v>0</v>
      </c>
      <c r="K19" s="223">
        <f t="shared" si="6"/>
        <v>3191215.4974584263</v>
      </c>
      <c r="M19" s="13"/>
      <c r="N19" s="207" t="s">
        <v>282</v>
      </c>
      <c r="O19" s="180" t="s">
        <v>263</v>
      </c>
      <c r="P19" s="208">
        <f t="shared" si="7"/>
        <v>78642.495491744223</v>
      </c>
      <c r="Q19"/>
      <c r="R19" s="214" t="s">
        <v>283</v>
      </c>
      <c r="S19" s="180" t="s">
        <v>284</v>
      </c>
      <c r="T19" s="208">
        <f t="shared" si="8"/>
        <v>0</v>
      </c>
      <c r="U19"/>
      <c r="V19"/>
      <c r="W19"/>
      <c r="X19" s="180" t="s">
        <v>280</v>
      </c>
      <c r="Y19" s="180" t="s">
        <v>269</v>
      </c>
      <c r="Z19" s="182"/>
      <c r="AA19" s="183"/>
      <c r="AB19" s="183">
        <v>0</v>
      </c>
      <c r="AC19" s="182"/>
      <c r="AD19" s="183"/>
      <c r="AE19" s="183">
        <v>0</v>
      </c>
      <c r="AF19" s="183">
        <v>1506.91</v>
      </c>
      <c r="AG19" s="183">
        <v>592215.63</v>
      </c>
      <c r="AH19" s="183">
        <v>568.18142530745763</v>
      </c>
      <c r="AI19" s="183">
        <v>223295.30014583084</v>
      </c>
      <c r="AJ19" s="183"/>
      <c r="AK19" s="183">
        <v>0</v>
      </c>
      <c r="AL19" s="183"/>
      <c r="AM19" s="183"/>
      <c r="AN19" s="183"/>
      <c r="AO19" s="183"/>
      <c r="AP19" s="183"/>
      <c r="AQ19" s="183"/>
      <c r="AR19" s="183">
        <f t="shared" si="9"/>
        <v>1037.545712653729</v>
      </c>
      <c r="AS19" s="183">
        <f t="shared" si="10"/>
        <v>163102.18602916616</v>
      </c>
      <c r="AT19"/>
      <c r="AU19"/>
      <c r="AV19" s="198" t="s">
        <v>281</v>
      </c>
      <c r="AW19" s="181" t="s">
        <v>274</v>
      </c>
      <c r="AX19" s="183" t="s">
        <v>30</v>
      </c>
      <c r="AY19" s="183" t="s">
        <v>30</v>
      </c>
      <c r="AZ19" s="183" t="s">
        <v>30</v>
      </c>
      <c r="BA19" s="183" t="s">
        <v>30</v>
      </c>
      <c r="BB19" s="183" t="s">
        <v>30</v>
      </c>
      <c r="BC19" s="183" t="s">
        <v>30</v>
      </c>
      <c r="BD19" s="183">
        <v>0</v>
      </c>
      <c r="BE19" s="183" t="s">
        <v>30</v>
      </c>
      <c r="BF19" s="183"/>
      <c r="BG19" s="183">
        <v>0</v>
      </c>
      <c r="BH19" s="183"/>
      <c r="BI19" s="183"/>
      <c r="BJ19" s="183"/>
      <c r="BK19" s="183"/>
      <c r="BL19" s="183"/>
      <c r="BM19" s="183"/>
      <c r="BN19" s="183">
        <f t="shared" si="11"/>
        <v>0</v>
      </c>
      <c r="BO19" s="183">
        <f t="shared" si="12"/>
        <v>0</v>
      </c>
      <c r="BP19"/>
      <c r="BQ19"/>
      <c r="BR19"/>
      <c r="BS19"/>
      <c r="BT19"/>
      <c r="BU19"/>
      <c r="BV19"/>
      <c r="BW19"/>
      <c r="BX19"/>
      <c r="BY19"/>
      <c r="BZ19"/>
      <c r="CA19"/>
      <c r="CB19"/>
      <c r="CC19"/>
      <c r="CD19"/>
      <c r="CE19"/>
      <c r="CF19"/>
      <c r="CG19"/>
      <c r="CH19"/>
      <c r="CI19"/>
      <c r="CJ19"/>
      <c r="CK19"/>
      <c r="CL19"/>
      <c r="CM19"/>
      <c r="CN19"/>
      <c r="CO19"/>
      <c r="CP19"/>
      <c r="CQ19"/>
      <c r="CR19"/>
      <c r="CS19" s="14"/>
    </row>
    <row r="20" spans="1:97" x14ac:dyDescent="0.25">
      <c r="A20" s="1">
        <f>IF(A19&lt;'Project Information'!B$11,A19+1,"")</f>
        <v>2038</v>
      </c>
      <c r="B20" s="223">
        <f t="shared" si="0"/>
        <v>645420.11836806161</v>
      </c>
      <c r="C20" s="223">
        <f t="shared" si="1"/>
        <v>1684927.5031939489</v>
      </c>
      <c r="D20" s="223">
        <f t="shared" si="2"/>
        <v>1003442845.4399555</v>
      </c>
      <c r="E20" s="223">
        <f t="shared" si="3"/>
        <v>351204995.90398437</v>
      </c>
      <c r="F20" s="223">
        <v>0</v>
      </c>
      <c r="G20" s="223">
        <f t="shared" si="4"/>
        <v>295243737.69551551</v>
      </c>
      <c r="H20" s="223">
        <v>0</v>
      </c>
      <c r="I20" s="223">
        <f t="shared" si="5"/>
        <v>80578191.310825273</v>
      </c>
      <c r="J20" s="223">
        <v>0</v>
      </c>
      <c r="K20" s="223">
        <f t="shared" si="6"/>
        <v>3223127.6524330107</v>
      </c>
      <c r="M20" s="13"/>
      <c r="N20" s="207" t="s">
        <v>285</v>
      </c>
      <c r="O20" s="180" t="s">
        <v>269</v>
      </c>
      <c r="P20" s="208">
        <f t="shared" si="7"/>
        <v>3233.831367438268</v>
      </c>
      <c r="Q20"/>
      <c r="R20" s="214" t="s">
        <v>286</v>
      </c>
      <c r="S20" s="180" t="s">
        <v>271</v>
      </c>
      <c r="T20" s="208">
        <f t="shared" si="8"/>
        <v>0</v>
      </c>
      <c r="U20"/>
      <c r="V20"/>
      <c r="W20"/>
      <c r="X20" s="180" t="s">
        <v>282</v>
      </c>
      <c r="Y20" s="180" t="s">
        <v>263</v>
      </c>
      <c r="Z20" s="182">
        <v>0.1288</v>
      </c>
      <c r="AA20" s="183">
        <v>84789.608007999996</v>
      </c>
      <c r="AB20" s="183">
        <v>33322315.947143998</v>
      </c>
      <c r="AC20" s="182">
        <v>0.13719999999999999</v>
      </c>
      <c r="AD20" s="183">
        <v>43430.281327999997</v>
      </c>
      <c r="AE20" s="183">
        <v>17068100.561903998</v>
      </c>
      <c r="AF20" s="183">
        <v>93846.36</v>
      </c>
      <c r="AG20" s="183">
        <v>36881619.479999997</v>
      </c>
      <c r="AH20" s="183">
        <v>83730.22812272115</v>
      </c>
      <c r="AI20" s="183">
        <v>32905979.652229413</v>
      </c>
      <c r="AJ20" s="183">
        <v>87416</v>
      </c>
      <c r="AK20" s="183">
        <v>34354488</v>
      </c>
      <c r="AL20" s="183"/>
      <c r="AM20" s="183"/>
      <c r="AN20" s="183"/>
      <c r="AO20" s="183"/>
      <c r="AP20" s="183"/>
      <c r="AQ20" s="183"/>
      <c r="AR20" s="183">
        <f t="shared" si="9"/>
        <v>78642.495491744223</v>
      </c>
      <c r="AS20" s="183">
        <f t="shared" si="10"/>
        <v>30906500.728255488</v>
      </c>
      <c r="AT20"/>
      <c r="AU20"/>
      <c r="AV20" s="198" t="s">
        <v>283</v>
      </c>
      <c r="AW20" s="181" t="s">
        <v>284</v>
      </c>
      <c r="AX20" s="183" t="s">
        <v>30</v>
      </c>
      <c r="AY20" s="183" t="s">
        <v>30</v>
      </c>
      <c r="AZ20" s="183" t="s">
        <v>30</v>
      </c>
      <c r="BA20" s="183" t="s">
        <v>30</v>
      </c>
      <c r="BB20" s="183" t="s">
        <v>30</v>
      </c>
      <c r="BC20" s="183" t="s">
        <v>30</v>
      </c>
      <c r="BD20" s="183">
        <v>0</v>
      </c>
      <c r="BE20" s="183" t="s">
        <v>30</v>
      </c>
      <c r="BF20" s="183"/>
      <c r="BG20" s="183">
        <v>0</v>
      </c>
      <c r="BH20" s="183"/>
      <c r="BI20" s="183"/>
      <c r="BJ20" s="183"/>
      <c r="BK20" s="183"/>
      <c r="BL20" s="183"/>
      <c r="BM20" s="183"/>
      <c r="BN20" s="183">
        <f t="shared" si="11"/>
        <v>0</v>
      </c>
      <c r="BO20" s="183">
        <f t="shared" si="12"/>
        <v>0</v>
      </c>
      <c r="BP20"/>
      <c r="BQ20"/>
      <c r="BR20"/>
      <c r="BS20"/>
      <c r="BT20"/>
      <c r="BU20"/>
      <c r="BV20"/>
      <c r="BW20"/>
      <c r="BX20"/>
      <c r="BY20"/>
      <c r="BZ20"/>
      <c r="CA20"/>
      <c r="CB20"/>
      <c r="CC20"/>
      <c r="CD20"/>
      <c r="CE20"/>
      <c r="CF20"/>
      <c r="CG20"/>
      <c r="CH20"/>
      <c r="CI20"/>
      <c r="CJ20"/>
      <c r="CK20"/>
      <c r="CL20"/>
      <c r="CM20"/>
      <c r="CN20"/>
      <c r="CO20"/>
      <c r="CP20"/>
      <c r="CQ20"/>
      <c r="CR20"/>
      <c r="CS20" s="14"/>
    </row>
    <row r="21" spans="1:97" x14ac:dyDescent="0.25">
      <c r="A21" s="1">
        <f>IF(A20&lt;'Project Information'!B$11,A20+1,"")</f>
        <v>2039</v>
      </c>
      <c r="B21" s="223">
        <f t="shared" si="0"/>
        <v>651874.31955174217</v>
      </c>
      <c r="C21" s="223">
        <f t="shared" si="1"/>
        <v>1701776.7782258883</v>
      </c>
      <c r="D21" s="223">
        <f t="shared" si="2"/>
        <v>1013477273.8943549</v>
      </c>
      <c r="E21" s="223">
        <f t="shared" si="3"/>
        <v>354717045.86302423</v>
      </c>
      <c r="F21" s="223">
        <v>0</v>
      </c>
      <c r="G21" s="223">
        <f t="shared" si="4"/>
        <v>298196175.07247066</v>
      </c>
      <c r="H21" s="223">
        <v>0</v>
      </c>
      <c r="I21" s="223">
        <f t="shared" si="5"/>
        <v>81383973.223933518</v>
      </c>
      <c r="J21" s="223">
        <v>0</v>
      </c>
      <c r="K21" s="223">
        <f t="shared" si="6"/>
        <v>3255358.9289573408</v>
      </c>
      <c r="M21" s="13"/>
      <c r="N21" s="207" t="s">
        <v>287</v>
      </c>
      <c r="O21" s="180" t="s">
        <v>269</v>
      </c>
      <c r="P21" s="208">
        <f t="shared" si="7"/>
        <v>1618</v>
      </c>
      <c r="Q21"/>
      <c r="R21" s="214" t="s">
        <v>288</v>
      </c>
      <c r="S21" s="180" t="s">
        <v>271</v>
      </c>
      <c r="T21" s="208">
        <f t="shared" si="8"/>
        <v>2348.4568487651395</v>
      </c>
      <c r="U21"/>
      <c r="V21"/>
      <c r="W21"/>
      <c r="X21" s="180" t="s">
        <v>285</v>
      </c>
      <c r="Y21" s="180" t="s">
        <v>269</v>
      </c>
      <c r="Z21" s="182"/>
      <c r="AA21" s="183"/>
      <c r="AB21" s="183">
        <v>0</v>
      </c>
      <c r="AC21" s="182"/>
      <c r="AD21" s="183"/>
      <c r="AE21" s="183">
        <v>0</v>
      </c>
      <c r="AF21" s="183">
        <v>4696.75</v>
      </c>
      <c r="AG21" s="183">
        <v>1845822.75</v>
      </c>
      <c r="AH21" s="183">
        <v>1770.9127348765362</v>
      </c>
      <c r="AI21" s="183">
        <v>695968.70480647869</v>
      </c>
      <c r="AJ21" s="183"/>
      <c r="AK21" s="183">
        <v>0</v>
      </c>
      <c r="AL21" s="183"/>
      <c r="AM21" s="183"/>
      <c r="AN21" s="183"/>
      <c r="AO21" s="183"/>
      <c r="AP21" s="183"/>
      <c r="AQ21" s="183"/>
      <c r="AR21" s="183">
        <f t="shared" si="9"/>
        <v>3233.831367438268</v>
      </c>
      <c r="AS21" s="183">
        <f t="shared" si="10"/>
        <v>508358.29096129572</v>
      </c>
      <c r="AT21"/>
      <c r="AU21"/>
      <c r="AV21" s="198" t="s">
        <v>286</v>
      </c>
      <c r="AW21" s="181" t="s">
        <v>271</v>
      </c>
      <c r="AX21" s="183" t="s">
        <v>30</v>
      </c>
      <c r="AY21" s="183" t="s">
        <v>30</v>
      </c>
      <c r="AZ21" s="183" t="s">
        <v>30</v>
      </c>
      <c r="BA21" s="183" t="s">
        <v>30</v>
      </c>
      <c r="BB21" s="183" t="s">
        <v>30</v>
      </c>
      <c r="BC21" s="183" t="s">
        <v>30</v>
      </c>
      <c r="BD21" s="183">
        <v>0</v>
      </c>
      <c r="BE21" s="183" t="s">
        <v>30</v>
      </c>
      <c r="BF21" s="183"/>
      <c r="BG21" s="183">
        <v>0</v>
      </c>
      <c r="BH21" s="183"/>
      <c r="BI21" s="183"/>
      <c r="BJ21" s="183"/>
      <c r="BK21" s="183"/>
      <c r="BL21" s="183"/>
      <c r="BM21" s="183"/>
      <c r="BN21" s="183">
        <f t="shared" si="11"/>
        <v>0</v>
      </c>
      <c r="BO21" s="183">
        <f t="shared" si="12"/>
        <v>0</v>
      </c>
      <c r="BP21"/>
      <c r="BQ21"/>
      <c r="BR21"/>
      <c r="BS21"/>
      <c r="BT21"/>
      <c r="BU21"/>
      <c r="BV21"/>
      <c r="BW21"/>
      <c r="BX21"/>
      <c r="BY21"/>
      <c r="BZ21"/>
      <c r="CA21"/>
      <c r="CB21"/>
      <c r="CC21"/>
      <c r="CD21"/>
      <c r="CE21"/>
      <c r="CF21"/>
      <c r="CG21"/>
      <c r="CH21"/>
      <c r="CI21"/>
      <c r="CJ21"/>
      <c r="CK21"/>
      <c r="CL21"/>
      <c r="CM21"/>
      <c r="CN21"/>
      <c r="CO21"/>
      <c r="CP21"/>
      <c r="CQ21"/>
      <c r="CR21"/>
      <c r="CS21" s="14"/>
    </row>
    <row r="22" spans="1:97" x14ac:dyDescent="0.25">
      <c r="A22" s="1">
        <f>IF(A21&lt;'Project Information'!B$11,A21+1,"")</f>
        <v>2040</v>
      </c>
      <c r="B22" s="223">
        <f t="shared" si="0"/>
        <v>658393.06274725962</v>
      </c>
      <c r="C22" s="223">
        <f t="shared" si="1"/>
        <v>1718794.5460081471</v>
      </c>
      <c r="D22" s="223">
        <f t="shared" si="2"/>
        <v>1023612046.6332984</v>
      </c>
      <c r="E22" s="223">
        <f t="shared" si="3"/>
        <v>358264216.32165444</v>
      </c>
      <c r="F22" s="223">
        <v>0</v>
      </c>
      <c r="G22" s="223">
        <f t="shared" si="4"/>
        <v>301178136.82319534</v>
      </c>
      <c r="H22" s="223">
        <v>0</v>
      </c>
      <c r="I22" s="223">
        <f t="shared" si="5"/>
        <v>82197812.956172854</v>
      </c>
      <c r="J22" s="223">
        <v>0</v>
      </c>
      <c r="K22" s="223">
        <f t="shared" si="6"/>
        <v>3287912.5182469143</v>
      </c>
      <c r="M22" s="13"/>
      <c r="N22" s="207" t="s">
        <v>289</v>
      </c>
      <c r="O22" s="180" t="s">
        <v>263</v>
      </c>
      <c r="P22" s="208">
        <f t="shared" si="7"/>
        <v>33737.626705507188</v>
      </c>
      <c r="Q22"/>
      <c r="R22" s="214" t="s">
        <v>290</v>
      </c>
      <c r="S22" s="180" t="s">
        <v>271</v>
      </c>
      <c r="T22" s="208">
        <f t="shared" si="8"/>
        <v>0</v>
      </c>
      <c r="U22"/>
      <c r="V22"/>
      <c r="W22"/>
      <c r="X22" s="180" t="s">
        <v>287</v>
      </c>
      <c r="Y22" s="180" t="s">
        <v>269</v>
      </c>
      <c r="Z22" s="182"/>
      <c r="AA22" s="183"/>
      <c r="AB22" s="183"/>
      <c r="AC22" s="182"/>
      <c r="AD22" s="183"/>
      <c r="AE22" s="183"/>
      <c r="AF22" s="183"/>
      <c r="AG22" s="183"/>
      <c r="AH22" s="183"/>
      <c r="AI22" s="183"/>
      <c r="AJ22" s="183">
        <v>1618</v>
      </c>
      <c r="AK22" s="183">
        <v>635874</v>
      </c>
      <c r="AL22" s="183"/>
      <c r="AM22" s="183"/>
      <c r="AN22" s="183"/>
      <c r="AO22" s="183"/>
      <c r="AP22" s="183"/>
      <c r="AQ22" s="183"/>
      <c r="AR22" s="183">
        <f t="shared" si="9"/>
        <v>1618</v>
      </c>
      <c r="AS22" s="183">
        <f t="shared" si="10"/>
        <v>635874</v>
      </c>
      <c r="AT22"/>
      <c r="AU22"/>
      <c r="AV22" s="198" t="s">
        <v>288</v>
      </c>
      <c r="AW22" s="181" t="s">
        <v>271</v>
      </c>
      <c r="AX22" s="183">
        <v>3115</v>
      </c>
      <c r="AY22" s="183">
        <v>1386175</v>
      </c>
      <c r="AZ22" s="183" t="s">
        <v>30</v>
      </c>
      <c r="BA22" s="183" t="s">
        <v>30</v>
      </c>
      <c r="BB22" s="183" t="s">
        <v>30</v>
      </c>
      <c r="BC22" s="183" t="s">
        <v>30</v>
      </c>
      <c r="BD22" s="183">
        <v>1067.3705462954188</v>
      </c>
      <c r="BE22" s="183">
        <v>474979.89310146135</v>
      </c>
      <c r="BF22" s="183">
        <v>2863</v>
      </c>
      <c r="BG22" s="183">
        <v>1274035</v>
      </c>
      <c r="BH22" s="183"/>
      <c r="BI22" s="183"/>
      <c r="BJ22" s="183"/>
      <c r="BK22" s="183"/>
      <c r="BL22" s="183"/>
      <c r="BM22" s="183"/>
      <c r="BN22" s="183">
        <f t="shared" si="11"/>
        <v>2348.4568487651395</v>
      </c>
      <c r="BO22" s="183">
        <f t="shared" si="12"/>
        <v>1045063.2977004871</v>
      </c>
      <c r="BP22"/>
      <c r="BQ22"/>
      <c r="BR22"/>
      <c r="BS22"/>
      <c r="BT22"/>
      <c r="BU22"/>
      <c r="BV22"/>
      <c r="BW22"/>
      <c r="BX22"/>
      <c r="BY22"/>
      <c r="BZ22"/>
      <c r="CA22"/>
      <c r="CB22"/>
      <c r="CC22"/>
      <c r="CD22"/>
      <c r="CE22"/>
      <c r="CF22"/>
      <c r="CG22"/>
      <c r="CH22"/>
      <c r="CI22"/>
      <c r="CJ22"/>
      <c r="CK22"/>
      <c r="CL22"/>
      <c r="CM22"/>
      <c r="CN22"/>
      <c r="CO22"/>
      <c r="CP22"/>
      <c r="CQ22"/>
      <c r="CR22"/>
      <c r="CS22" s="14"/>
    </row>
    <row r="23" spans="1:97" x14ac:dyDescent="0.25">
      <c r="A23" s="1">
        <f>IF(A22&lt;'Project Information'!B$11,A22+1,"")</f>
        <v>2041</v>
      </c>
      <c r="B23" s="223">
        <f t="shared" si="0"/>
        <v>664976.99337473221</v>
      </c>
      <c r="C23" s="223">
        <f t="shared" si="1"/>
        <v>1735982.4914682286</v>
      </c>
      <c r="D23" s="223">
        <f t="shared" si="2"/>
        <v>1033848167.0996315</v>
      </c>
      <c r="E23" s="223">
        <f t="shared" si="3"/>
        <v>361846858.48487103</v>
      </c>
      <c r="F23" s="223">
        <v>0</v>
      </c>
      <c r="G23" s="223">
        <f t="shared" si="4"/>
        <v>304189918.19142735</v>
      </c>
      <c r="H23" s="223">
        <v>0</v>
      </c>
      <c r="I23" s="223">
        <f t="shared" si="5"/>
        <v>83019791.085734576</v>
      </c>
      <c r="J23" s="223">
        <v>0</v>
      </c>
      <c r="K23" s="223">
        <f t="shared" si="6"/>
        <v>3320791.6434293832</v>
      </c>
      <c r="M23" s="13"/>
      <c r="N23" s="207" t="s">
        <v>274</v>
      </c>
      <c r="O23" s="180" t="s">
        <v>274</v>
      </c>
      <c r="P23" s="208">
        <f t="shared" si="7"/>
        <v>71327.939946548984</v>
      </c>
      <c r="Q23"/>
      <c r="R23" s="215" t="s">
        <v>291</v>
      </c>
      <c r="S23" s="180"/>
      <c r="T23" s="208"/>
      <c r="U23"/>
      <c r="V23"/>
      <c r="W23"/>
      <c r="X23" s="180" t="s">
        <v>289</v>
      </c>
      <c r="Y23" s="180" t="s">
        <v>263</v>
      </c>
      <c r="Z23" s="182">
        <v>7.9200000000000007E-2</v>
      </c>
      <c r="AA23" s="183">
        <v>52137.709272000007</v>
      </c>
      <c r="AB23" s="183">
        <v>20490119.743896004</v>
      </c>
      <c r="AC23" s="182">
        <v>6.4299999999999996E-2</v>
      </c>
      <c r="AD23" s="183">
        <v>20353.987531999999</v>
      </c>
      <c r="AE23" s="183">
        <v>7999117.1000759993</v>
      </c>
      <c r="AF23" s="183">
        <v>36376.58</v>
      </c>
      <c r="AG23" s="183">
        <v>14295995.940000001</v>
      </c>
      <c r="AH23" s="183">
        <v>41048.856723535937</v>
      </c>
      <c r="AI23" s="183">
        <v>16132200.692349624</v>
      </c>
      <c r="AJ23" s="183">
        <v>18771</v>
      </c>
      <c r="AK23" s="183">
        <v>7377003</v>
      </c>
      <c r="AL23" s="183"/>
      <c r="AM23" s="183"/>
      <c r="AN23" s="183"/>
      <c r="AO23" s="183"/>
      <c r="AP23" s="183"/>
      <c r="AQ23" s="183"/>
      <c r="AR23" s="183">
        <f t="shared" si="9"/>
        <v>33737.626705507188</v>
      </c>
      <c r="AS23" s="183">
        <f t="shared" si="10"/>
        <v>13258887.295264328</v>
      </c>
      <c r="AT23"/>
      <c r="AU23"/>
      <c r="AV23" s="198" t="s">
        <v>290</v>
      </c>
      <c r="AW23" s="181" t="s">
        <v>271</v>
      </c>
      <c r="AX23" s="183" t="s">
        <v>30</v>
      </c>
      <c r="AY23" s="183" t="s">
        <v>30</v>
      </c>
      <c r="AZ23" s="183" t="s">
        <v>30</v>
      </c>
      <c r="BA23" s="183" t="s">
        <v>30</v>
      </c>
      <c r="BB23" s="183" t="s">
        <v>30</v>
      </c>
      <c r="BC23" s="183" t="s">
        <v>30</v>
      </c>
      <c r="BD23" s="183">
        <v>0</v>
      </c>
      <c r="BE23" s="183" t="s">
        <v>30</v>
      </c>
      <c r="BF23" s="183"/>
      <c r="BG23" s="183">
        <v>0</v>
      </c>
      <c r="BH23" s="183"/>
      <c r="BI23" s="183"/>
      <c r="BJ23" s="183"/>
      <c r="BK23" s="183"/>
      <c r="BL23" s="183"/>
      <c r="BM23" s="183"/>
      <c r="BN23" s="183">
        <f t="shared" si="11"/>
        <v>0</v>
      </c>
      <c r="BO23" s="183">
        <f t="shared" si="12"/>
        <v>0</v>
      </c>
      <c r="BP23"/>
      <c r="BQ23"/>
      <c r="BR23"/>
      <c r="BS23"/>
      <c r="BT23"/>
      <c r="BU23"/>
      <c r="BV23"/>
      <c r="BW23"/>
      <c r="BX23"/>
      <c r="BY23"/>
      <c r="BZ23"/>
      <c r="CA23"/>
      <c r="CB23"/>
      <c r="CC23"/>
      <c r="CD23"/>
      <c r="CE23"/>
      <c r="CF23"/>
      <c r="CG23"/>
      <c r="CH23"/>
      <c r="CI23"/>
      <c r="CJ23"/>
      <c r="CK23"/>
      <c r="CL23"/>
      <c r="CM23"/>
      <c r="CN23"/>
      <c r="CO23"/>
      <c r="CP23"/>
      <c r="CQ23"/>
      <c r="CR23"/>
      <c r="CS23" s="14"/>
    </row>
    <row r="24" spans="1:97" x14ac:dyDescent="0.25">
      <c r="A24" s="1">
        <f>IF(A23&lt;'Project Information'!B$11,A23+1,"")</f>
        <v>2042</v>
      </c>
      <c r="B24" s="223">
        <f t="shared" si="0"/>
        <v>671626.76330847957</v>
      </c>
      <c r="C24" s="223">
        <f t="shared" si="1"/>
        <v>1753342.3163829108</v>
      </c>
      <c r="D24" s="223">
        <f t="shared" si="2"/>
        <v>1044186648.7706277</v>
      </c>
      <c r="E24" s="223">
        <f t="shared" si="3"/>
        <v>365465327.06971967</v>
      </c>
      <c r="F24" s="223">
        <v>0</v>
      </c>
      <c r="G24" s="223">
        <f t="shared" si="4"/>
        <v>307231817.37334162</v>
      </c>
      <c r="H24" s="223">
        <v>0</v>
      </c>
      <c r="I24" s="223">
        <f t="shared" si="5"/>
        <v>83849988.996591926</v>
      </c>
      <c r="J24" s="223">
        <v>0</v>
      </c>
      <c r="K24" s="223">
        <f t="shared" si="6"/>
        <v>3353999.5598636772</v>
      </c>
      <c r="M24" s="13"/>
      <c r="N24" s="207" t="s">
        <v>292</v>
      </c>
      <c r="O24" s="180" t="s">
        <v>263</v>
      </c>
      <c r="P24" s="208">
        <f t="shared" si="7"/>
        <v>6345.6297025247659</v>
      </c>
      <c r="Q24"/>
      <c r="R24" s="214" t="s">
        <v>270</v>
      </c>
      <c r="S24" s="180" t="s">
        <v>271</v>
      </c>
      <c r="T24" s="208">
        <f t="shared" si="8"/>
        <v>1598.1793142970776</v>
      </c>
      <c r="U24"/>
      <c r="V24"/>
      <c r="W24"/>
      <c r="X24" s="180" t="s">
        <v>274</v>
      </c>
      <c r="Y24" s="180" t="s">
        <v>274</v>
      </c>
      <c r="Z24" s="182">
        <v>0.10929999999999999</v>
      </c>
      <c r="AA24" s="183">
        <v>71952.672013000003</v>
      </c>
      <c r="AB24" s="183">
        <v>28277400.101109002</v>
      </c>
      <c r="AC24" s="182">
        <v>0.27210000000000001</v>
      </c>
      <c r="AD24" s="183">
        <v>86132.504004000002</v>
      </c>
      <c r="AE24" s="183">
        <v>33850074.073572002</v>
      </c>
      <c r="AF24" s="183">
        <v>56030.909999999996</v>
      </c>
      <c r="AG24" s="183">
        <v>22020147.629999999</v>
      </c>
      <c r="AH24" s="183">
        <v>80732.613715744956</v>
      </c>
      <c r="AI24" s="183">
        <v>31727917.190287769</v>
      </c>
      <c r="AJ24" s="183">
        <v>61791</v>
      </c>
      <c r="AK24" s="183">
        <v>24283863</v>
      </c>
      <c r="AL24" s="183"/>
      <c r="AM24" s="183"/>
      <c r="AN24" s="183"/>
      <c r="AO24" s="183"/>
      <c r="AP24" s="183"/>
      <c r="AQ24" s="183"/>
      <c r="AR24" s="183">
        <f t="shared" si="9"/>
        <v>71327.939946548984</v>
      </c>
      <c r="AS24" s="183">
        <f t="shared" si="10"/>
        <v>28031880.398993753</v>
      </c>
      <c r="AT24"/>
      <c r="AU24"/>
      <c r="AV24" s="363" t="s">
        <v>291</v>
      </c>
      <c r="AW24" s="363"/>
      <c r="AX24" s="363"/>
      <c r="AY24" s="363"/>
      <c r="AZ24" s="363"/>
      <c r="BA24" s="363"/>
      <c r="BB24" s="363"/>
      <c r="BC24" s="363"/>
      <c r="BD24" s="363"/>
      <c r="BE24" s="363"/>
      <c r="BF24" s="363"/>
      <c r="BG24" s="363"/>
      <c r="BH24" s="197"/>
      <c r="BI24" s="197"/>
      <c r="BJ24" s="197"/>
      <c r="BK24" s="197"/>
      <c r="BL24" s="197"/>
      <c r="BM24" s="197"/>
      <c r="BN24" s="183"/>
      <c r="BO24" s="183"/>
      <c r="BP24"/>
      <c r="BQ24"/>
      <c r="BR24"/>
      <c r="BS24"/>
      <c r="BT24"/>
      <c r="BU24"/>
      <c r="BV24"/>
      <c r="BW24"/>
      <c r="BX24"/>
      <c r="BY24"/>
      <c r="BZ24"/>
      <c r="CA24"/>
      <c r="CB24"/>
      <c r="CC24"/>
      <c r="CD24"/>
      <c r="CE24"/>
      <c r="CF24"/>
      <c r="CG24"/>
      <c r="CH24"/>
      <c r="CI24"/>
      <c r="CJ24"/>
      <c r="CK24"/>
      <c r="CL24"/>
      <c r="CM24"/>
      <c r="CN24"/>
      <c r="CO24"/>
      <c r="CP24"/>
      <c r="CQ24"/>
      <c r="CR24"/>
      <c r="CS24" s="14"/>
    </row>
    <row r="25" spans="1:97" x14ac:dyDescent="0.25">
      <c r="A25" s="1">
        <f>IF(A24&lt;'Project Information'!B$11,A24+1,"")</f>
        <v>2043</v>
      </c>
      <c r="B25" s="223">
        <f t="shared" si="0"/>
        <v>678343.03094156436</v>
      </c>
      <c r="C25" s="223">
        <f t="shared" si="1"/>
        <v>1770875.73954674</v>
      </c>
      <c r="D25" s="223">
        <f t="shared" si="2"/>
        <v>1054628515.258334</v>
      </c>
      <c r="E25" s="223">
        <f t="shared" si="3"/>
        <v>369119980.34041691</v>
      </c>
      <c r="F25" s="223">
        <v>0</v>
      </c>
      <c r="G25" s="223">
        <f t="shared" si="4"/>
        <v>310304135.54707503</v>
      </c>
      <c r="H25" s="223">
        <v>0</v>
      </c>
      <c r="I25" s="223">
        <f t="shared" si="5"/>
        <v>84688488.886557847</v>
      </c>
      <c r="J25" s="223">
        <v>0</v>
      </c>
      <c r="K25" s="223">
        <f t="shared" si="6"/>
        <v>3387539.5554623138</v>
      </c>
      <c r="M25" s="13"/>
      <c r="N25" s="207" t="s">
        <v>293</v>
      </c>
      <c r="O25" s="180" t="s">
        <v>294</v>
      </c>
      <c r="P25" s="208">
        <f t="shared" si="7"/>
        <v>42220.365846396438</v>
      </c>
      <c r="Q25"/>
      <c r="R25" s="214" t="s">
        <v>295</v>
      </c>
      <c r="S25" s="180" t="s">
        <v>274</v>
      </c>
      <c r="T25" s="208">
        <f t="shared" si="8"/>
        <v>254904.36423116829</v>
      </c>
      <c r="U25"/>
      <c r="V25"/>
      <c r="W25"/>
      <c r="X25" s="180" t="s">
        <v>292</v>
      </c>
      <c r="Y25" s="180" t="s">
        <v>263</v>
      </c>
      <c r="Z25" s="182">
        <v>1.4E-2</v>
      </c>
      <c r="AA25" s="183">
        <v>9216.2617399999999</v>
      </c>
      <c r="AB25" s="183">
        <v>3621990.8638200001</v>
      </c>
      <c r="AC25" s="182" t="s">
        <v>30</v>
      </c>
      <c r="AD25" s="183" t="s">
        <v>30</v>
      </c>
      <c r="AE25" s="183" t="s">
        <v>30</v>
      </c>
      <c r="AF25" s="183" t="s">
        <v>30</v>
      </c>
      <c r="AG25" s="183" t="s">
        <v>30</v>
      </c>
      <c r="AH25" s="183">
        <v>3474.997665049531</v>
      </c>
      <c r="AI25" s="183">
        <v>1365674.0823644656</v>
      </c>
      <c r="AJ25" s="183"/>
      <c r="AK25" s="183">
        <v>0</v>
      </c>
      <c r="AL25" s="183"/>
      <c r="AM25" s="183"/>
      <c r="AN25" s="183"/>
      <c r="AO25" s="183"/>
      <c r="AP25" s="183"/>
      <c r="AQ25" s="183"/>
      <c r="AR25" s="183">
        <f t="shared" si="9"/>
        <v>6345.6297025247659</v>
      </c>
      <c r="AS25" s="183">
        <f t="shared" si="10"/>
        <v>1662554.9820614886</v>
      </c>
      <c r="AT25"/>
      <c r="AU25"/>
      <c r="AV25" s="198" t="s">
        <v>270</v>
      </c>
      <c r="AW25" s="181" t="s">
        <v>271</v>
      </c>
      <c r="AX25" s="183" t="s">
        <v>30</v>
      </c>
      <c r="AY25" s="183" t="s">
        <v>30</v>
      </c>
      <c r="AZ25" s="183">
        <v>315</v>
      </c>
      <c r="BA25" s="183">
        <v>140175</v>
      </c>
      <c r="BB25" s="183">
        <v>3536</v>
      </c>
      <c r="BC25" s="183">
        <v>1573520</v>
      </c>
      <c r="BD25" s="183">
        <v>943.53794289123334</v>
      </c>
      <c r="BE25" s="183">
        <v>419874.38458659884</v>
      </c>
      <c r="BF25" s="183"/>
      <c r="BG25" s="183">
        <v>0</v>
      </c>
      <c r="BH25" s="183"/>
      <c r="BI25" s="183"/>
      <c r="BJ25" s="183"/>
      <c r="BK25" s="183"/>
      <c r="BL25" s="183"/>
      <c r="BM25" s="183"/>
      <c r="BN25" s="183">
        <f t="shared" si="11"/>
        <v>1598.1793142970776</v>
      </c>
      <c r="BO25" s="183">
        <f t="shared" si="12"/>
        <v>533392.34614664968</v>
      </c>
      <c r="BP25"/>
      <c r="BQ25"/>
      <c r="BR25"/>
      <c r="BS25"/>
      <c r="BT25"/>
      <c r="BU25"/>
      <c r="BV25"/>
      <c r="BW25"/>
      <c r="BX25"/>
      <c r="BY25"/>
      <c r="BZ25"/>
      <c r="CA25"/>
      <c r="CB25"/>
      <c r="CC25"/>
      <c r="CD25"/>
      <c r="CE25"/>
      <c r="CF25"/>
      <c r="CG25"/>
      <c r="CH25"/>
      <c r="CI25"/>
      <c r="CJ25"/>
      <c r="CK25"/>
      <c r="CL25"/>
      <c r="CM25"/>
      <c r="CN25"/>
      <c r="CO25"/>
      <c r="CP25"/>
      <c r="CQ25"/>
      <c r="CR25"/>
      <c r="CS25" s="14"/>
    </row>
    <row r="26" spans="1:97" x14ac:dyDescent="0.25">
      <c r="A26" s="1">
        <f>IF(A25&lt;'Project Information'!B$11,A25+1,"")</f>
        <v>2044</v>
      </c>
      <c r="B26" s="223">
        <f t="shared" si="0"/>
        <v>685126.46125098004</v>
      </c>
      <c r="C26" s="223">
        <f t="shared" si="1"/>
        <v>1788584.4969422075</v>
      </c>
      <c r="D26" s="223">
        <f t="shared" si="2"/>
        <v>1065174800.4109175</v>
      </c>
      <c r="E26" s="223">
        <f t="shared" si="3"/>
        <v>372811180.14382112</v>
      </c>
      <c r="F26" s="223">
        <v>0</v>
      </c>
      <c r="G26" s="223">
        <f t="shared" si="4"/>
        <v>313407176.90254581</v>
      </c>
      <c r="H26" s="223">
        <v>0</v>
      </c>
      <c r="I26" s="223">
        <f t="shared" si="5"/>
        <v>85535373.775423422</v>
      </c>
      <c r="J26" s="223">
        <v>0</v>
      </c>
      <c r="K26" s="223">
        <f t="shared" si="6"/>
        <v>3421414.9510169369</v>
      </c>
      <c r="M26" s="13"/>
      <c r="N26" s="207" t="s">
        <v>296</v>
      </c>
      <c r="O26" s="180" t="s">
        <v>263</v>
      </c>
      <c r="P26" s="208">
        <f t="shared" si="7"/>
        <v>69265.9719506197</v>
      </c>
      <c r="Q26"/>
      <c r="R26" s="214" t="s">
        <v>297</v>
      </c>
      <c r="S26" s="180" t="s">
        <v>274</v>
      </c>
      <c r="T26" s="208">
        <f t="shared" si="8"/>
        <v>267520.00349549984</v>
      </c>
      <c r="U26"/>
      <c r="V26"/>
      <c r="W26"/>
      <c r="X26" s="180" t="s">
        <v>293</v>
      </c>
      <c r="Y26" s="180" t="s">
        <v>294</v>
      </c>
      <c r="Z26" s="182">
        <v>7.6799999999999993E-2</v>
      </c>
      <c r="AA26" s="183">
        <v>50557.778687999999</v>
      </c>
      <c r="AB26" s="183">
        <v>19869207.024383999</v>
      </c>
      <c r="AC26" s="182">
        <v>8.7099999999999997E-2</v>
      </c>
      <c r="AD26" s="183">
        <v>27571.264604</v>
      </c>
      <c r="AE26" s="183">
        <v>10835506.989372</v>
      </c>
      <c r="AF26" s="183">
        <v>46287.46</v>
      </c>
      <c r="AG26" s="183">
        <v>18190971.780000001</v>
      </c>
      <c r="AH26" s="183">
        <v>46911.325939982184</v>
      </c>
      <c r="AI26" s="183">
        <v>18436151.094412997</v>
      </c>
      <c r="AJ26" s="183">
        <v>39774</v>
      </c>
      <c r="AK26" s="183">
        <v>15631182</v>
      </c>
      <c r="AL26" s="183"/>
      <c r="AM26" s="183"/>
      <c r="AN26" s="183"/>
      <c r="AO26" s="183"/>
      <c r="AP26" s="183"/>
      <c r="AQ26" s="183"/>
      <c r="AR26" s="183">
        <f t="shared" si="9"/>
        <v>42220.365846396438</v>
      </c>
      <c r="AS26" s="183">
        <f t="shared" si="10"/>
        <v>16592603.777633797</v>
      </c>
      <c r="AT26"/>
      <c r="AU26"/>
      <c r="AV26" s="198" t="s">
        <v>295</v>
      </c>
      <c r="AW26" s="181" t="s">
        <v>274</v>
      </c>
      <c r="AX26" s="183">
        <v>227478</v>
      </c>
      <c r="AY26" s="183">
        <v>101227710</v>
      </c>
      <c r="AZ26" s="183">
        <v>162659</v>
      </c>
      <c r="BA26" s="183">
        <v>72383255</v>
      </c>
      <c r="BB26" s="183">
        <v>359220</v>
      </c>
      <c r="BC26" s="183">
        <v>159852900</v>
      </c>
      <c r="BD26" s="183">
        <v>183600.82115584158</v>
      </c>
      <c r="BE26" s="183">
        <v>81702365.414349496</v>
      </c>
      <c r="BF26" s="183">
        <v>341564</v>
      </c>
      <c r="BG26" s="183">
        <v>151995980</v>
      </c>
      <c r="BH26" s="183"/>
      <c r="BI26" s="183"/>
      <c r="BJ26" s="183"/>
      <c r="BK26" s="183"/>
      <c r="BL26" s="183"/>
      <c r="BM26" s="183"/>
      <c r="BN26" s="183">
        <f t="shared" si="11"/>
        <v>254904.36423116829</v>
      </c>
      <c r="BO26" s="183">
        <f t="shared" si="12"/>
        <v>113432442.08286992</v>
      </c>
      <c r="BP26"/>
      <c r="BQ26"/>
      <c r="BR26"/>
      <c r="BS26"/>
      <c r="BT26"/>
      <c r="BU26"/>
      <c r="BV26"/>
      <c r="BW26"/>
      <c r="BX26"/>
      <c r="BY26"/>
      <c r="BZ26"/>
      <c r="CA26"/>
      <c r="CB26"/>
      <c r="CC26"/>
      <c r="CD26"/>
      <c r="CE26"/>
      <c r="CF26"/>
      <c r="CG26"/>
      <c r="CH26"/>
      <c r="CI26"/>
      <c r="CJ26"/>
      <c r="CK26"/>
      <c r="CL26"/>
      <c r="CM26"/>
      <c r="CN26"/>
      <c r="CO26"/>
      <c r="CP26"/>
      <c r="CQ26"/>
      <c r="CR26"/>
      <c r="CS26" s="14"/>
    </row>
    <row r="27" spans="1:97" x14ac:dyDescent="0.25">
      <c r="A27" s="1">
        <f>IF(A26&lt;'Project Information'!B$11,A26+1,"")</f>
        <v>2045</v>
      </c>
      <c r="B27" s="223">
        <f t="shared" si="0"/>
        <v>691977.72586348979</v>
      </c>
      <c r="C27" s="223">
        <f t="shared" si="1"/>
        <v>1806470.3419116295</v>
      </c>
      <c r="D27" s="223">
        <f t="shared" si="2"/>
        <v>1075826548.4150267</v>
      </c>
      <c r="E27" s="223">
        <f t="shared" si="3"/>
        <v>376539291.94525933</v>
      </c>
      <c r="F27" s="223">
        <v>0</v>
      </c>
      <c r="G27" s="223">
        <f t="shared" si="4"/>
        <v>316541248.67157125</v>
      </c>
      <c r="H27" s="223">
        <v>0</v>
      </c>
      <c r="I27" s="223">
        <f t="shared" si="5"/>
        <v>86390727.513177663</v>
      </c>
      <c r="J27" s="223">
        <v>0</v>
      </c>
      <c r="K27" s="223">
        <f t="shared" si="6"/>
        <v>3455629.1005271063</v>
      </c>
      <c r="M27" s="13"/>
      <c r="N27" s="207" t="s">
        <v>298</v>
      </c>
      <c r="O27" s="180" t="s">
        <v>276</v>
      </c>
      <c r="P27" s="208">
        <f t="shared" si="7"/>
        <v>3612.2517768400348</v>
      </c>
      <c r="Q27"/>
      <c r="R27" s="214" t="s">
        <v>299</v>
      </c>
      <c r="S27" s="180" t="s">
        <v>271</v>
      </c>
      <c r="T27" s="208">
        <f t="shared" si="8"/>
        <v>0</v>
      </c>
      <c r="U27"/>
      <c r="V27"/>
      <c r="W27"/>
      <c r="X27" s="180" t="s">
        <v>296</v>
      </c>
      <c r="Y27" s="180" t="s">
        <v>263</v>
      </c>
      <c r="Z27" s="182">
        <v>0.1477</v>
      </c>
      <c r="AA27" s="183">
        <v>97231.561356999999</v>
      </c>
      <c r="AB27" s="183">
        <v>38212003.613301001</v>
      </c>
      <c r="AC27" s="182">
        <v>0.1057</v>
      </c>
      <c r="AD27" s="183">
        <v>33459.043268000001</v>
      </c>
      <c r="AE27" s="183">
        <v>13149404.004324</v>
      </c>
      <c r="AF27" s="183">
        <v>71521.17</v>
      </c>
      <c r="AG27" s="183">
        <v>28107819.809999999</v>
      </c>
      <c r="AH27" s="183">
        <v>76244.085128098479</v>
      </c>
      <c r="AI27" s="183">
        <v>29963925.455342703</v>
      </c>
      <c r="AJ27" s="183">
        <v>67874</v>
      </c>
      <c r="AK27" s="183">
        <v>26674482</v>
      </c>
      <c r="AL27" s="183"/>
      <c r="AM27" s="183"/>
      <c r="AN27" s="183"/>
      <c r="AO27" s="183"/>
      <c r="AP27" s="183"/>
      <c r="AQ27" s="183"/>
      <c r="AR27" s="183">
        <f t="shared" si="9"/>
        <v>69265.9719506197</v>
      </c>
      <c r="AS27" s="183">
        <f t="shared" si="10"/>
        <v>27221526.976593543</v>
      </c>
      <c r="AT27"/>
      <c r="AU27"/>
      <c r="AV27" s="198" t="s">
        <v>297</v>
      </c>
      <c r="AW27" s="181" t="s">
        <v>274</v>
      </c>
      <c r="AX27" s="183">
        <v>293830</v>
      </c>
      <c r="AY27" s="183">
        <v>130754350</v>
      </c>
      <c r="AZ27" s="183">
        <v>93503</v>
      </c>
      <c r="BA27" s="183">
        <v>41608835</v>
      </c>
      <c r="BB27" s="183">
        <v>106114</v>
      </c>
      <c r="BC27" s="183">
        <v>47220730</v>
      </c>
      <c r="BD27" s="183">
        <v>120900.01747749945</v>
      </c>
      <c r="BE27" s="183">
        <v>53800507.777487256</v>
      </c>
      <c r="BF27" s="183">
        <v>723253</v>
      </c>
      <c r="BG27" s="183">
        <v>321847585</v>
      </c>
      <c r="BH27" s="183"/>
      <c r="BI27" s="183"/>
      <c r="BJ27" s="183"/>
      <c r="BK27" s="183"/>
      <c r="BL27" s="183"/>
      <c r="BM27" s="183"/>
      <c r="BN27" s="183">
        <f t="shared" si="11"/>
        <v>267520.00349549984</v>
      </c>
      <c r="BO27" s="183">
        <f t="shared" si="12"/>
        <v>119046401.55549745</v>
      </c>
      <c r="BP27"/>
      <c r="BQ27"/>
      <c r="BR27"/>
      <c r="BS27"/>
      <c r="BT27"/>
      <c r="BU27"/>
      <c r="BV27"/>
      <c r="BW27"/>
      <c r="BX27"/>
      <c r="BY27"/>
      <c r="BZ27"/>
      <c r="CA27"/>
      <c r="CB27"/>
      <c r="CC27"/>
      <c r="CD27"/>
      <c r="CE27"/>
      <c r="CF27"/>
      <c r="CG27"/>
      <c r="CH27"/>
      <c r="CI27"/>
      <c r="CJ27"/>
      <c r="CK27"/>
      <c r="CL27"/>
      <c r="CM27"/>
      <c r="CN27"/>
      <c r="CO27"/>
      <c r="CP27"/>
      <c r="CQ27"/>
      <c r="CR27"/>
      <c r="CS27" s="14"/>
    </row>
    <row r="28" spans="1:97" x14ac:dyDescent="0.25">
      <c r="A28" s="1">
        <f>IF(A27&lt;'Project Information'!B$11,A27+1,"")</f>
        <v>2046</v>
      </c>
      <c r="B28" s="223">
        <f t="shared" si="0"/>
        <v>698897.5031221247</v>
      </c>
      <c r="C28" s="223">
        <f t="shared" si="1"/>
        <v>1824535.0453307459</v>
      </c>
      <c r="D28" s="223">
        <f t="shared" si="2"/>
        <v>1086584813.8991771</v>
      </c>
      <c r="E28" s="223">
        <f t="shared" si="3"/>
        <v>380304684.86471194</v>
      </c>
      <c r="F28" s="223">
        <v>0</v>
      </c>
      <c r="G28" s="223">
        <f t="shared" si="4"/>
        <v>319706661.15828699</v>
      </c>
      <c r="H28" s="223">
        <v>0</v>
      </c>
      <c r="I28" s="223">
        <f t="shared" si="5"/>
        <v>87254634.78830944</v>
      </c>
      <c r="J28" s="223">
        <v>0</v>
      </c>
      <c r="K28" s="223">
        <f t="shared" si="6"/>
        <v>3490185.3915323778</v>
      </c>
      <c r="M28" s="13"/>
      <c r="N28" s="207" t="s">
        <v>300</v>
      </c>
      <c r="O28" s="180" t="s">
        <v>263</v>
      </c>
      <c r="P28" s="208">
        <f t="shared" si="7"/>
        <v>1373.9239774944315</v>
      </c>
      <c r="Q28"/>
      <c r="R28" s="214" t="s">
        <v>301</v>
      </c>
      <c r="S28" s="180" t="s">
        <v>284</v>
      </c>
      <c r="T28" s="208">
        <f t="shared" si="8"/>
        <v>6287.9443877150115</v>
      </c>
      <c r="U28"/>
      <c r="V28"/>
      <c r="W28"/>
      <c r="X28" s="180" t="s">
        <v>298</v>
      </c>
      <c r="Y28" s="180" t="s">
        <v>276</v>
      </c>
      <c r="Z28" s="182" t="s">
        <v>30</v>
      </c>
      <c r="AA28" s="183" t="s">
        <v>30</v>
      </c>
      <c r="AB28" s="183" t="s">
        <v>30</v>
      </c>
      <c r="AC28" s="182"/>
      <c r="AD28" s="183"/>
      <c r="AE28" s="183">
        <v>0</v>
      </c>
      <c r="AF28" s="183">
        <v>5246.3600000000006</v>
      </c>
      <c r="AG28" s="183">
        <v>2061819.4800000002</v>
      </c>
      <c r="AH28" s="183">
        <v>1978.1435536800695</v>
      </c>
      <c r="AI28" s="183">
        <v>777410.41659626737</v>
      </c>
      <c r="AJ28" s="183"/>
      <c r="AK28" s="183">
        <v>0</v>
      </c>
      <c r="AL28" s="183"/>
      <c r="AM28" s="183"/>
      <c r="AN28" s="183"/>
      <c r="AO28" s="183"/>
      <c r="AP28" s="183"/>
      <c r="AQ28" s="183"/>
      <c r="AR28" s="183">
        <f t="shared" si="9"/>
        <v>3612.2517768400348</v>
      </c>
      <c r="AS28" s="183">
        <f t="shared" si="10"/>
        <v>709807.47414906695</v>
      </c>
      <c r="AT28"/>
      <c r="AU28"/>
      <c r="AV28" s="198" t="s">
        <v>299</v>
      </c>
      <c r="AW28" s="181" t="s">
        <v>271</v>
      </c>
      <c r="AX28" s="183" t="s">
        <v>30</v>
      </c>
      <c r="AY28" s="183" t="s">
        <v>30</v>
      </c>
      <c r="AZ28" s="183" t="s">
        <v>30</v>
      </c>
      <c r="BA28" s="183" t="s">
        <v>30</v>
      </c>
      <c r="BB28" s="183" t="s">
        <v>30</v>
      </c>
      <c r="BC28" s="183" t="s">
        <v>30</v>
      </c>
      <c r="BD28" s="183">
        <v>0</v>
      </c>
      <c r="BE28" s="183" t="s">
        <v>30</v>
      </c>
      <c r="BF28" s="183"/>
      <c r="BG28" s="183">
        <v>0</v>
      </c>
      <c r="BH28" s="183"/>
      <c r="BI28" s="183"/>
      <c r="BJ28" s="183"/>
      <c r="BK28" s="183"/>
      <c r="BL28" s="183"/>
      <c r="BM28" s="183"/>
      <c r="BN28" s="183">
        <f t="shared" si="11"/>
        <v>0</v>
      </c>
      <c r="BO28" s="183">
        <f t="shared" si="12"/>
        <v>0</v>
      </c>
      <c r="BP28"/>
      <c r="BQ28"/>
      <c r="BR28"/>
      <c r="BS28"/>
      <c r="BT28"/>
      <c r="BU28"/>
      <c r="BV28"/>
      <c r="BW28"/>
      <c r="BX28"/>
      <c r="BY28"/>
      <c r="BZ28"/>
      <c r="CA28"/>
      <c r="CB28"/>
      <c r="CC28"/>
      <c r="CD28"/>
      <c r="CE28"/>
      <c r="CF28"/>
      <c r="CG28"/>
      <c r="CH28"/>
      <c r="CI28"/>
      <c r="CJ28"/>
      <c r="CK28"/>
      <c r="CL28"/>
      <c r="CM28"/>
      <c r="CN28"/>
      <c r="CO28"/>
      <c r="CP28"/>
      <c r="CQ28"/>
      <c r="CR28"/>
      <c r="CS28" s="14"/>
    </row>
    <row r="29" spans="1:97" x14ac:dyDescent="0.25">
      <c r="A29" s="1">
        <f>IF(A28&lt;'Project Information'!B$11,A28+1,"")</f>
        <v>2047</v>
      </c>
      <c r="B29" s="223">
        <f t="shared" si="0"/>
        <v>705886.47815334599</v>
      </c>
      <c r="C29" s="223">
        <f t="shared" si="1"/>
        <v>1842780.3957840533</v>
      </c>
      <c r="D29" s="223">
        <f t="shared" si="2"/>
        <v>1097450662.0381687</v>
      </c>
      <c r="E29" s="223">
        <f t="shared" si="3"/>
        <v>384107731.713359</v>
      </c>
      <c r="F29" s="223">
        <v>0</v>
      </c>
      <c r="G29" s="223">
        <f t="shared" si="4"/>
        <v>322903727.7698698</v>
      </c>
      <c r="H29" s="223">
        <v>0</v>
      </c>
      <c r="I29" s="223">
        <f t="shared" si="5"/>
        <v>88127181.13619253</v>
      </c>
      <c r="J29" s="223">
        <v>0</v>
      </c>
      <c r="K29" s="223">
        <f t="shared" si="6"/>
        <v>3525087.2454477013</v>
      </c>
      <c r="M29" s="13"/>
      <c r="N29" s="207" t="s">
        <v>302</v>
      </c>
      <c r="O29" s="180" t="s">
        <v>276</v>
      </c>
      <c r="P29" s="208">
        <f t="shared" si="7"/>
        <v>12241.657619615657</v>
      </c>
      <c r="Q29"/>
      <c r="R29" s="214" t="s">
        <v>303</v>
      </c>
      <c r="S29" s="180" t="s">
        <v>284</v>
      </c>
      <c r="T29" s="208">
        <f t="shared" si="8"/>
        <v>0</v>
      </c>
      <c r="U29"/>
      <c r="V29"/>
      <c r="W29"/>
      <c r="X29" s="180" t="s">
        <v>300</v>
      </c>
      <c r="Y29" s="180" t="s">
        <v>263</v>
      </c>
      <c r="Z29" s="182" t="s">
        <v>30</v>
      </c>
      <c r="AA29" s="183" t="s">
        <v>30</v>
      </c>
      <c r="AB29" s="183" t="s">
        <v>30</v>
      </c>
      <c r="AC29" s="182"/>
      <c r="AD29" s="183"/>
      <c r="AE29" s="183">
        <v>0</v>
      </c>
      <c r="AF29" s="183">
        <v>1407.19</v>
      </c>
      <c r="AG29" s="183">
        <v>553025.67000000004</v>
      </c>
      <c r="AH29" s="183">
        <v>530.58193248329451</v>
      </c>
      <c r="AI29" s="183">
        <v>208518.69946593474</v>
      </c>
      <c r="AJ29" s="183">
        <v>2184</v>
      </c>
      <c r="AK29" s="183">
        <v>858312</v>
      </c>
      <c r="AL29" s="183"/>
      <c r="AM29" s="183"/>
      <c r="AN29" s="183"/>
      <c r="AO29" s="183"/>
      <c r="AP29" s="183"/>
      <c r="AQ29" s="183"/>
      <c r="AR29" s="183">
        <f t="shared" si="9"/>
        <v>1373.9239774944315</v>
      </c>
      <c r="AS29" s="183">
        <f t="shared" si="10"/>
        <v>404964.0923664837</v>
      </c>
      <c r="AT29"/>
      <c r="AU29"/>
      <c r="AV29" s="198" t="s">
        <v>301</v>
      </c>
      <c r="AW29" s="181" t="s">
        <v>284</v>
      </c>
      <c r="AX29" s="183" t="s">
        <v>30</v>
      </c>
      <c r="AY29" s="183" t="s">
        <v>30</v>
      </c>
      <c r="AZ29" s="183" t="s">
        <v>30</v>
      </c>
      <c r="BA29" s="183" t="s">
        <v>30</v>
      </c>
      <c r="BB29" s="183">
        <v>8803</v>
      </c>
      <c r="BC29" s="183">
        <v>3917335</v>
      </c>
      <c r="BD29" s="183">
        <v>2156.8331631450342</v>
      </c>
      <c r="BE29" s="183">
        <v>959790.75759954017</v>
      </c>
      <c r="BF29" s="183">
        <v>7904</v>
      </c>
      <c r="BG29" s="183">
        <v>3517280</v>
      </c>
      <c r="BH29" s="183"/>
      <c r="BI29" s="183"/>
      <c r="BJ29" s="183"/>
      <c r="BK29" s="183"/>
      <c r="BL29" s="183"/>
      <c r="BM29" s="183"/>
      <c r="BN29" s="183">
        <f t="shared" si="11"/>
        <v>6287.9443877150115</v>
      </c>
      <c r="BO29" s="183">
        <f t="shared" si="12"/>
        <v>2798135.2525331802</v>
      </c>
      <c r="BP29"/>
      <c r="BQ29"/>
      <c r="BR29"/>
      <c r="BS29"/>
      <c r="BT29"/>
      <c r="BU29"/>
      <c r="BV29"/>
      <c r="BW29"/>
      <c r="BX29"/>
      <c r="BY29"/>
      <c r="BZ29"/>
      <c r="CA29"/>
      <c r="CB29"/>
      <c r="CC29"/>
      <c r="CD29"/>
      <c r="CE29"/>
      <c r="CF29"/>
      <c r="CG29"/>
      <c r="CH29"/>
      <c r="CI29"/>
      <c r="CJ29"/>
      <c r="CK29"/>
      <c r="CL29"/>
      <c r="CM29"/>
      <c r="CN29"/>
      <c r="CO29"/>
      <c r="CP29"/>
      <c r="CQ29"/>
      <c r="CR29"/>
      <c r="CS29" s="14"/>
    </row>
    <row r="30" spans="1:97" ht="15.75" thickBot="1" x14ac:dyDescent="0.3">
      <c r="A30" s="1" t="str">
        <f>IF(A29&lt;'Project Information'!B$11,A29+1,"")</f>
        <v/>
      </c>
      <c r="B30" s="223">
        <v>0</v>
      </c>
      <c r="C30" s="223">
        <v>0</v>
      </c>
      <c r="D30" s="223">
        <v>0</v>
      </c>
      <c r="E30" s="223">
        <v>0</v>
      </c>
      <c r="F30" s="223">
        <v>0</v>
      </c>
      <c r="G30" s="223">
        <v>0</v>
      </c>
      <c r="H30" s="223">
        <v>0</v>
      </c>
      <c r="I30" s="223">
        <v>0</v>
      </c>
      <c r="J30" s="223"/>
      <c r="K30" s="223"/>
      <c r="M30" s="13"/>
      <c r="N30" s="207" t="s">
        <v>304</v>
      </c>
      <c r="O30" s="180" t="s">
        <v>276</v>
      </c>
      <c r="P30" s="208">
        <f t="shared" si="7"/>
        <v>7524.1243801798964</v>
      </c>
      <c r="Q30"/>
      <c r="R30" s="216" t="s">
        <v>305</v>
      </c>
      <c r="S30" s="217"/>
      <c r="T30" s="211">
        <f t="shared" si="8"/>
        <v>1254706.362806133</v>
      </c>
      <c r="U30"/>
      <c r="V30"/>
      <c r="W30"/>
      <c r="X30" s="180" t="s">
        <v>302</v>
      </c>
      <c r="Y30" s="180" t="s">
        <v>276</v>
      </c>
      <c r="Z30" s="182">
        <v>9.7999999999999997E-3</v>
      </c>
      <c r="AA30" s="183">
        <v>6451.3832179999999</v>
      </c>
      <c r="AB30" s="183">
        <v>2535393.6046739998</v>
      </c>
      <c r="AC30" s="182">
        <v>6.9099999999999995E-2</v>
      </c>
      <c r="AD30" s="183">
        <v>21873.414283999999</v>
      </c>
      <c r="AE30" s="183">
        <v>8596251.8136119992</v>
      </c>
      <c r="AF30" s="183">
        <v>8029.92</v>
      </c>
      <c r="AG30" s="183">
        <v>3155758.56</v>
      </c>
      <c r="AH30" s="183">
        <v>13707.570596078289</v>
      </c>
      <c r="AI30" s="183">
        <v>5387075.2442587679</v>
      </c>
      <c r="AJ30" s="183">
        <v>11146</v>
      </c>
      <c r="AK30" s="183">
        <v>4380378</v>
      </c>
      <c r="AL30" s="183"/>
      <c r="AM30" s="183"/>
      <c r="AN30" s="183"/>
      <c r="AO30" s="183"/>
      <c r="AP30" s="183"/>
      <c r="AQ30" s="183"/>
      <c r="AR30" s="183">
        <f t="shared" si="9"/>
        <v>12241.657619615657</v>
      </c>
      <c r="AS30" s="183">
        <f t="shared" si="10"/>
        <v>4810971.444508953</v>
      </c>
      <c r="AT30"/>
      <c r="AU30"/>
      <c r="AV30" s="198" t="s">
        <v>303</v>
      </c>
      <c r="AW30" s="181" t="s">
        <v>284</v>
      </c>
      <c r="AX30" s="183" t="s">
        <v>30</v>
      </c>
      <c r="AY30" s="183" t="s">
        <v>30</v>
      </c>
      <c r="AZ30" s="183" t="s">
        <v>30</v>
      </c>
      <c r="BA30" s="183" t="s">
        <v>30</v>
      </c>
      <c r="BB30" s="183" t="s">
        <v>30</v>
      </c>
      <c r="BC30" s="183" t="s">
        <v>30</v>
      </c>
      <c r="BD30" s="183">
        <v>0</v>
      </c>
      <c r="BE30" s="183" t="s">
        <v>30</v>
      </c>
      <c r="BF30" s="183"/>
      <c r="BG30" s="183">
        <v>0</v>
      </c>
      <c r="BH30" s="183"/>
      <c r="BI30" s="183"/>
      <c r="BJ30" s="183"/>
      <c r="BK30" s="183"/>
      <c r="BL30" s="183"/>
      <c r="BM30" s="183"/>
      <c r="BN30" s="183">
        <f t="shared" si="11"/>
        <v>0</v>
      </c>
      <c r="BO30" s="183">
        <f t="shared" si="12"/>
        <v>0</v>
      </c>
      <c r="BP30"/>
      <c r="BQ30"/>
      <c r="BR30"/>
      <c r="BS30"/>
      <c r="BT30"/>
      <c r="BU30"/>
      <c r="BV30"/>
      <c r="BW30"/>
      <c r="BX30"/>
      <c r="BY30"/>
      <c r="BZ30"/>
      <c r="CA30"/>
      <c r="CB30"/>
      <c r="CC30"/>
      <c r="CD30"/>
      <c r="CE30"/>
      <c r="CF30"/>
      <c r="CG30"/>
      <c r="CH30"/>
      <c r="CI30"/>
      <c r="CJ30"/>
      <c r="CK30"/>
      <c r="CL30"/>
      <c r="CM30"/>
      <c r="CN30"/>
      <c r="CO30"/>
      <c r="CP30"/>
      <c r="CQ30"/>
      <c r="CR30"/>
      <c r="CS30" s="14"/>
    </row>
    <row r="31" spans="1:97" x14ac:dyDescent="0.25">
      <c r="A31" s="1" t="str">
        <f>IF(A30&lt;'Project Information'!B$11,A30+1,"")</f>
        <v/>
      </c>
      <c r="B31" s="223">
        <v>0</v>
      </c>
      <c r="C31" s="223">
        <v>0</v>
      </c>
      <c r="D31" s="223">
        <v>0</v>
      </c>
      <c r="E31" s="223">
        <v>0</v>
      </c>
      <c r="F31" s="223">
        <v>0</v>
      </c>
      <c r="G31" s="223">
        <v>0</v>
      </c>
      <c r="H31" s="223">
        <v>0</v>
      </c>
      <c r="I31" s="223">
        <v>0</v>
      </c>
      <c r="J31" s="223"/>
      <c r="K31" s="223"/>
      <c r="M31" s="13"/>
      <c r="N31" s="207" t="s">
        <v>306</v>
      </c>
      <c r="O31" s="180" t="s">
        <v>276</v>
      </c>
      <c r="P31" s="208">
        <f t="shared" si="7"/>
        <v>134834.30993861487</v>
      </c>
      <c r="Q31"/>
      <c r="R31"/>
      <c r="S31"/>
      <c r="T31" s="186"/>
      <c r="U31"/>
      <c r="V31"/>
      <c r="W31"/>
      <c r="X31" s="180" t="s">
        <v>304</v>
      </c>
      <c r="Y31" s="180" t="s">
        <v>276</v>
      </c>
      <c r="Z31" s="182">
        <v>1.06E-2</v>
      </c>
      <c r="AA31" s="183">
        <v>6978.0267460000005</v>
      </c>
      <c r="AB31" s="183">
        <v>2742364.5111780004</v>
      </c>
      <c r="AC31" s="182">
        <v>1.09E-2</v>
      </c>
      <c r="AD31" s="183">
        <v>3450.364916</v>
      </c>
      <c r="AE31" s="183">
        <v>1355993.4119879999</v>
      </c>
      <c r="AF31" s="183">
        <v>12419.44</v>
      </c>
      <c r="AG31" s="183">
        <v>4880839.92</v>
      </c>
      <c r="AH31" s="183">
        <v>8614.7902388994826</v>
      </c>
      <c r="AI31" s="183">
        <v>3385612.5638874965</v>
      </c>
      <c r="AJ31" s="183">
        <v>6158</v>
      </c>
      <c r="AK31" s="183">
        <v>2420094</v>
      </c>
      <c r="AL31" s="183"/>
      <c r="AM31" s="183"/>
      <c r="AN31" s="183"/>
      <c r="AO31" s="183"/>
      <c r="AP31" s="183"/>
      <c r="AQ31" s="183"/>
      <c r="AR31" s="183">
        <f t="shared" si="9"/>
        <v>7524.1243801798964</v>
      </c>
      <c r="AS31" s="183">
        <f t="shared" si="10"/>
        <v>2956980.8814106993</v>
      </c>
      <c r="AT31"/>
      <c r="AU31"/>
      <c r="AV31" s="197" t="s">
        <v>305</v>
      </c>
      <c r="AW31" s="178"/>
      <c r="AX31" s="202">
        <f>SUM(AX15:AX30)</f>
        <v>1027433</v>
      </c>
      <c r="AY31" s="202">
        <f t="shared" ref="AY31:BG31" si="13">SUM(AY15:AY30)</f>
        <v>457207685</v>
      </c>
      <c r="AZ31" s="202">
        <f t="shared" si="13"/>
        <v>604548</v>
      </c>
      <c r="BA31" s="202">
        <f t="shared" si="13"/>
        <v>269023860</v>
      </c>
      <c r="BB31" s="202">
        <f t="shared" si="13"/>
        <v>1018682</v>
      </c>
      <c r="BC31" s="202">
        <f t="shared" si="13"/>
        <v>453313490</v>
      </c>
      <c r="BD31" s="202">
        <f t="shared" si="13"/>
        <v>785675.27813234681</v>
      </c>
      <c r="BE31" s="202">
        <f t="shared" si="13"/>
        <v>349625498.76889431</v>
      </c>
      <c r="BF31" s="202">
        <f t="shared" si="13"/>
        <v>1436942</v>
      </c>
      <c r="BG31" s="202">
        <f t="shared" si="13"/>
        <v>639439190</v>
      </c>
      <c r="BH31" s="244">
        <f>BF31+(BF31*$P$42)</f>
        <v>1451311.42</v>
      </c>
      <c r="BI31" s="244">
        <f>BH31+(BH31*$P$42)</f>
        <v>1465824.5341999999</v>
      </c>
      <c r="BJ31" s="244">
        <f t="shared" ref="BJ31:BM31" si="14">BI31+(BI31*$P$42)</f>
        <v>1480482.7795419998</v>
      </c>
      <c r="BK31" s="244">
        <f t="shared" si="14"/>
        <v>1495287.6073374199</v>
      </c>
      <c r="BL31" s="244">
        <f t="shared" si="14"/>
        <v>1510240.4834107941</v>
      </c>
      <c r="BM31" s="244">
        <f t="shared" si="14"/>
        <v>1525342.888244902</v>
      </c>
      <c r="BN31" s="202">
        <f>AVERAGE(AX31,AZ31,BB31,BD31,BF31,BH31:BM31)</f>
        <v>1254706.362806133</v>
      </c>
      <c r="BO31" s="202">
        <f t="shared" si="12"/>
        <v>433721944.75377882</v>
      </c>
      <c r="BP31"/>
      <c r="BQ31"/>
      <c r="BR31"/>
      <c r="BS31"/>
      <c r="BT31"/>
      <c r="BU31"/>
      <c r="BV31"/>
      <c r="BW31"/>
      <c r="BX31"/>
      <c r="BY31"/>
      <c r="BZ31"/>
      <c r="CA31"/>
      <c r="CB31"/>
      <c r="CC31"/>
      <c r="CD31"/>
      <c r="CE31"/>
      <c r="CF31"/>
      <c r="CG31"/>
      <c r="CH31"/>
      <c r="CI31"/>
      <c r="CJ31"/>
      <c r="CK31"/>
      <c r="CL31"/>
      <c r="CM31"/>
      <c r="CN31"/>
      <c r="CO31"/>
      <c r="CP31"/>
      <c r="CQ31"/>
      <c r="CR31"/>
      <c r="CS31" s="14"/>
    </row>
    <row r="32" spans="1:97" x14ac:dyDescent="0.25">
      <c r="A32" s="1" t="str">
        <f>IF(A31&lt;'Project Information'!B$11,A31+1,"")</f>
        <v/>
      </c>
      <c r="B32" s="223">
        <v>0</v>
      </c>
      <c r="C32" s="223">
        <v>0</v>
      </c>
      <c r="D32" s="223">
        <v>0</v>
      </c>
      <c r="E32" s="223">
        <v>0</v>
      </c>
      <c r="F32" s="223">
        <v>0</v>
      </c>
      <c r="G32" s="223">
        <v>0</v>
      </c>
      <c r="H32" s="223">
        <v>0</v>
      </c>
      <c r="I32" s="223">
        <v>0</v>
      </c>
      <c r="J32" s="223"/>
      <c r="K32" s="223"/>
      <c r="M32" s="13"/>
      <c r="N32" s="207" t="s">
        <v>307</v>
      </c>
      <c r="O32" s="180" t="s">
        <v>276</v>
      </c>
      <c r="P32" s="208">
        <f t="shared" si="7"/>
        <v>1133.344131311577</v>
      </c>
      <c r="Q32"/>
      <c r="R32"/>
      <c r="S32"/>
      <c r="T32" s="186"/>
      <c r="U32"/>
      <c r="V32"/>
      <c r="W32"/>
      <c r="X32" s="180" t="s">
        <v>306</v>
      </c>
      <c r="Y32" s="180" t="s">
        <v>276</v>
      </c>
      <c r="Z32" s="182">
        <v>0.30309999999999998</v>
      </c>
      <c r="AA32" s="183">
        <v>199532.06667100001</v>
      </c>
      <c r="AB32" s="183">
        <v>78416102.201702997</v>
      </c>
      <c r="AC32" s="182">
        <v>0.19950000000000001</v>
      </c>
      <c r="AD32" s="183">
        <v>63151.174380000004</v>
      </c>
      <c r="AE32" s="183">
        <v>24818411.531340003</v>
      </c>
      <c r="AF32" s="183">
        <v>90353.55</v>
      </c>
      <c r="AG32" s="183">
        <v>35508945.149999999</v>
      </c>
      <c r="AH32" s="183">
        <v>133112.75864207436</v>
      </c>
      <c r="AI32" s="183">
        <v>52313314.146335222</v>
      </c>
      <c r="AJ32" s="183">
        <v>188022</v>
      </c>
      <c r="AK32" s="183">
        <v>73892646</v>
      </c>
      <c r="AL32" s="183"/>
      <c r="AM32" s="183"/>
      <c r="AN32" s="183"/>
      <c r="AO32" s="183"/>
      <c r="AP32" s="183"/>
      <c r="AQ32" s="183"/>
      <c r="AR32" s="183">
        <f t="shared" si="9"/>
        <v>134834.30993861487</v>
      </c>
      <c r="AS32" s="183">
        <f t="shared" si="10"/>
        <v>52989883.805875644</v>
      </c>
      <c r="AT32"/>
      <c r="AU32"/>
      <c r="AV32" s="194"/>
      <c r="AW32" s="186"/>
      <c r="AX32" s="188"/>
      <c r="AY32" s="188"/>
      <c r="AZ32" s="188"/>
      <c r="BA32" s="188"/>
      <c r="BB32" s="188"/>
      <c r="BC32" s="188"/>
      <c r="BD32" s="188"/>
      <c r="BE32" s="188"/>
      <c r="BF32" s="188"/>
      <c r="BG32" s="188"/>
      <c r="BH32" s="188"/>
      <c r="BI32" s="188"/>
      <c r="BJ32" s="188"/>
      <c r="BK32" s="188"/>
      <c r="BL32" s="188"/>
      <c r="BM32" s="188"/>
      <c r="BN32" s="186"/>
      <c r="BO32" s="186"/>
      <c r="BP32"/>
      <c r="BQ32"/>
      <c r="BR32"/>
      <c r="BS32"/>
      <c r="BT32"/>
      <c r="BU32"/>
      <c r="BV32"/>
      <c r="BW32"/>
      <c r="BX32"/>
      <c r="BY32"/>
      <c r="BZ32"/>
      <c r="CA32"/>
      <c r="CB32"/>
      <c r="CC32"/>
      <c r="CD32"/>
      <c r="CE32"/>
      <c r="CF32"/>
      <c r="CG32"/>
      <c r="CH32"/>
      <c r="CI32"/>
      <c r="CJ32"/>
      <c r="CK32"/>
      <c r="CL32"/>
      <c r="CM32"/>
      <c r="CN32"/>
      <c r="CO32"/>
      <c r="CP32"/>
      <c r="CQ32"/>
      <c r="CR32"/>
      <c r="CS32" s="14"/>
    </row>
    <row r="33" spans="1:97" x14ac:dyDescent="0.25">
      <c r="A33" s="1" t="str">
        <f>IF(A32&lt;'Project Information'!B$11,A32+1,"")</f>
        <v/>
      </c>
      <c r="B33" s="223">
        <v>0</v>
      </c>
      <c r="C33" s="223">
        <v>0</v>
      </c>
      <c r="D33" s="223">
        <v>0</v>
      </c>
      <c r="E33" s="223">
        <v>0</v>
      </c>
      <c r="F33" s="223">
        <v>0</v>
      </c>
      <c r="G33" s="223">
        <v>0</v>
      </c>
      <c r="H33" s="223">
        <v>0</v>
      </c>
      <c r="I33" s="223">
        <v>0</v>
      </c>
      <c r="J33" s="223"/>
      <c r="K33" s="223"/>
      <c r="M33" s="13"/>
      <c r="N33" s="207" t="s">
        <v>308</v>
      </c>
      <c r="O33" s="180" t="s">
        <v>294</v>
      </c>
      <c r="P33" s="208">
        <f t="shared" si="7"/>
        <v>6402.5006971665543</v>
      </c>
      <c r="Q33"/>
      <c r="R33"/>
      <c r="S33"/>
      <c r="T33" s="186"/>
      <c r="U33"/>
      <c r="V33"/>
      <c r="W33"/>
      <c r="X33" s="180" t="s">
        <v>307</v>
      </c>
      <c r="Y33" s="180" t="s">
        <v>276</v>
      </c>
      <c r="Z33" s="182" t="s">
        <v>30</v>
      </c>
      <c r="AA33" s="183" t="s">
        <v>30</v>
      </c>
      <c r="AB33" s="183" t="s">
        <v>30</v>
      </c>
      <c r="AC33" s="182">
        <v>5.1999999999999998E-3</v>
      </c>
      <c r="AD33" s="183">
        <v>1646.0456479999998</v>
      </c>
      <c r="AE33" s="183">
        <v>646895.93966399995</v>
      </c>
      <c r="AF33" s="183" t="s">
        <v>30</v>
      </c>
      <c r="AG33" s="183" t="s">
        <v>30</v>
      </c>
      <c r="AH33" s="183">
        <v>620.64261462315437</v>
      </c>
      <c r="AI33" s="183">
        <v>243912.54754689967</v>
      </c>
      <c r="AJ33" s="183"/>
      <c r="AK33" s="183">
        <v>0</v>
      </c>
      <c r="AL33" s="183"/>
      <c r="AM33" s="183"/>
      <c r="AN33" s="183"/>
      <c r="AO33" s="183"/>
      <c r="AP33" s="183"/>
      <c r="AQ33" s="183"/>
      <c r="AR33" s="183">
        <f t="shared" si="9"/>
        <v>1133.344131311577</v>
      </c>
      <c r="AS33" s="183">
        <f t="shared" si="10"/>
        <v>296936.16240363318</v>
      </c>
      <c r="AT33"/>
      <c r="AU33"/>
      <c r="AV33" s="194"/>
      <c r="AW33" s="186"/>
      <c r="AX33" s="188"/>
      <c r="AY33" s="188"/>
      <c r="AZ33" s="188"/>
      <c r="BA33" s="188"/>
      <c r="BB33" s="188"/>
      <c r="BC33" s="188"/>
      <c r="BD33" s="188"/>
      <c r="BE33" s="188"/>
      <c r="BF33" s="188"/>
      <c r="BG33" s="188"/>
      <c r="BH33" s="188"/>
      <c r="BI33" s="188"/>
      <c r="BJ33" s="188"/>
      <c r="BK33" s="188"/>
      <c r="BL33" s="188"/>
      <c r="BM33" s="188"/>
      <c r="BN33" s="186"/>
      <c r="BO33" s="186"/>
      <c r="BP33"/>
      <c r="BQ33"/>
      <c r="BR33"/>
      <c r="BS33"/>
      <c r="BT33"/>
      <c r="BU33"/>
      <c r="BV33"/>
      <c r="BW33"/>
      <c r="BX33"/>
      <c r="BY33"/>
      <c r="BZ33"/>
      <c r="CA33"/>
      <c r="CB33"/>
      <c r="CC33"/>
      <c r="CD33"/>
      <c r="CE33"/>
      <c r="CF33"/>
      <c r="CG33"/>
      <c r="CH33"/>
      <c r="CI33"/>
      <c r="CJ33"/>
      <c r="CK33"/>
      <c r="CL33"/>
      <c r="CM33"/>
      <c r="CN33"/>
      <c r="CO33"/>
      <c r="CP33"/>
      <c r="CQ33"/>
      <c r="CR33"/>
      <c r="CS33" s="14"/>
    </row>
    <row r="34" spans="1:97" x14ac:dyDescent="0.25">
      <c r="A34" s="1" t="str">
        <f>IF(A33&lt;'Project Information'!B$11,A33+1,"")</f>
        <v/>
      </c>
      <c r="B34" s="223">
        <v>0</v>
      </c>
      <c r="C34" s="223">
        <v>0</v>
      </c>
      <c r="D34" s="223">
        <v>0</v>
      </c>
      <c r="E34" s="223">
        <v>0</v>
      </c>
      <c r="F34" s="223">
        <v>0</v>
      </c>
      <c r="G34" s="223">
        <v>0</v>
      </c>
      <c r="H34" s="223">
        <v>0</v>
      </c>
      <c r="I34" s="223">
        <v>0</v>
      </c>
      <c r="J34" s="223"/>
      <c r="K34" s="223"/>
      <c r="M34" s="13"/>
      <c r="N34" s="207" t="s">
        <v>309</v>
      </c>
      <c r="O34" s="180" t="s">
        <v>309</v>
      </c>
      <c r="P34" s="208">
        <f t="shared" si="7"/>
        <v>6404</v>
      </c>
      <c r="Q34"/>
      <c r="R34" s="178" t="s">
        <v>310</v>
      </c>
      <c r="S34" s="178">
        <v>25</v>
      </c>
      <c r="T34" s="186"/>
      <c r="U34"/>
      <c r="V34"/>
      <c r="W34"/>
      <c r="X34" s="180" t="s">
        <v>308</v>
      </c>
      <c r="Y34" s="180" t="s">
        <v>294</v>
      </c>
      <c r="Z34" s="182"/>
      <c r="AA34" s="183"/>
      <c r="AB34" s="183">
        <v>0</v>
      </c>
      <c r="AC34" s="182"/>
      <c r="AD34" s="183"/>
      <c r="AE34" s="183">
        <v>0</v>
      </c>
      <c r="AF34" s="183">
        <v>9298.86</v>
      </c>
      <c r="AG34" s="183">
        <v>3654451.9800000004</v>
      </c>
      <c r="AH34" s="183">
        <v>3506.1413943331086</v>
      </c>
      <c r="AI34" s="183">
        <v>1377913.5679729118</v>
      </c>
      <c r="AJ34" s="183"/>
      <c r="AK34" s="183">
        <v>0</v>
      </c>
      <c r="AL34" s="183"/>
      <c r="AM34" s="183"/>
      <c r="AN34" s="183"/>
      <c r="AO34" s="183"/>
      <c r="AP34" s="183"/>
      <c r="AQ34" s="183"/>
      <c r="AR34" s="183">
        <f t="shared" si="9"/>
        <v>6402.5006971665543</v>
      </c>
      <c r="AS34" s="183">
        <f t="shared" si="10"/>
        <v>1006473.1095945823</v>
      </c>
      <c r="AT34"/>
      <c r="AU34"/>
      <c r="AV34" s="194"/>
      <c r="AW34" s="186"/>
      <c r="AX34" s="188"/>
      <c r="AY34" s="188"/>
      <c r="AZ34" s="188"/>
      <c r="BA34" s="188"/>
      <c r="BB34" s="188"/>
      <c r="BC34" s="188"/>
      <c r="BD34" s="188"/>
      <c r="BE34" s="188"/>
      <c r="BF34" s="188"/>
      <c r="BG34" s="188"/>
      <c r="BH34" s="188"/>
      <c r="BI34" s="188"/>
      <c r="BJ34" s="188"/>
      <c r="BK34" s="188"/>
      <c r="BL34" s="188"/>
      <c r="BM34" s="188"/>
      <c r="BN34" s="186"/>
      <c r="BO34" s="186"/>
      <c r="BP34"/>
      <c r="BQ34"/>
      <c r="BR34"/>
      <c r="BS34"/>
      <c r="BT34"/>
      <c r="BU34"/>
      <c r="BV34"/>
      <c r="BW34"/>
      <c r="BX34"/>
      <c r="BY34"/>
      <c r="BZ34"/>
      <c r="CA34"/>
      <c r="CB34"/>
      <c r="CC34"/>
      <c r="CD34"/>
      <c r="CE34"/>
      <c r="CF34"/>
      <c r="CG34"/>
      <c r="CH34"/>
      <c r="CI34"/>
      <c r="CJ34"/>
      <c r="CK34"/>
      <c r="CL34"/>
      <c r="CM34"/>
      <c r="CN34"/>
      <c r="CO34"/>
      <c r="CP34"/>
      <c r="CQ34"/>
      <c r="CR34"/>
      <c r="CS34" s="14"/>
    </row>
    <row r="35" spans="1:97" x14ac:dyDescent="0.25">
      <c r="A35" s="1" t="str">
        <f>IF(A34&lt;'Project Information'!B$11,A34+1,"")</f>
        <v/>
      </c>
      <c r="B35" s="223">
        <v>0</v>
      </c>
      <c r="C35" s="223">
        <v>0</v>
      </c>
      <c r="D35" s="223">
        <v>0</v>
      </c>
      <c r="E35" s="223">
        <v>0</v>
      </c>
      <c r="F35" s="223">
        <v>0</v>
      </c>
      <c r="G35" s="223">
        <v>0</v>
      </c>
      <c r="H35" s="223">
        <v>0</v>
      </c>
      <c r="I35" s="223">
        <v>0</v>
      </c>
      <c r="J35" s="223"/>
      <c r="K35" s="223"/>
      <c r="M35" s="13"/>
      <c r="N35" s="207" t="s">
        <v>311</v>
      </c>
      <c r="O35" s="180" t="s">
        <v>294</v>
      </c>
      <c r="P35" s="208">
        <f t="shared" si="7"/>
        <v>38409</v>
      </c>
      <c r="Q35"/>
      <c r="R35"/>
      <c r="S35"/>
      <c r="T35" s="186"/>
      <c r="U35"/>
      <c r="V35"/>
      <c r="W35"/>
      <c r="X35" s="180" t="s">
        <v>309</v>
      </c>
      <c r="Y35" s="180" t="s">
        <v>309</v>
      </c>
      <c r="Z35" s="182"/>
      <c r="AA35" s="183"/>
      <c r="AB35" s="183"/>
      <c r="AC35" s="182"/>
      <c r="AD35" s="183"/>
      <c r="AE35" s="183"/>
      <c r="AF35" s="183"/>
      <c r="AG35" s="183"/>
      <c r="AH35" s="183"/>
      <c r="AI35" s="183"/>
      <c r="AJ35" s="183">
        <v>6404</v>
      </c>
      <c r="AK35" s="183">
        <v>2516772</v>
      </c>
      <c r="AL35" s="183"/>
      <c r="AM35" s="183"/>
      <c r="AN35" s="183"/>
      <c r="AO35" s="183"/>
      <c r="AP35" s="183"/>
      <c r="AQ35" s="183"/>
      <c r="AR35" s="183">
        <f t="shared" si="9"/>
        <v>6404</v>
      </c>
      <c r="AS35" s="183">
        <f t="shared" si="10"/>
        <v>2516772</v>
      </c>
      <c r="AT35"/>
      <c r="AU35"/>
      <c r="AV35" s="194"/>
      <c r="AW35" s="186"/>
      <c r="AX35" s="188"/>
      <c r="AY35" s="188"/>
      <c r="AZ35" s="188"/>
      <c r="BA35" s="188"/>
      <c r="BB35" s="188"/>
      <c r="BC35" s="188"/>
      <c r="BD35" s="188"/>
      <c r="BE35" s="188"/>
      <c r="BF35" s="188"/>
      <c r="BG35" s="188"/>
      <c r="BH35" s="188"/>
      <c r="BI35" s="188"/>
      <c r="BJ35" s="188"/>
      <c r="BK35" s="188"/>
      <c r="BL35" s="188"/>
      <c r="BM35" s="188"/>
      <c r="BN35" s="186"/>
      <c r="BO35" s="186"/>
      <c r="BP35"/>
      <c r="BQ35"/>
      <c r="BR35"/>
      <c r="BS35"/>
      <c r="BT35"/>
      <c r="BU35"/>
      <c r="BV35"/>
      <c r="BW35"/>
      <c r="BX35"/>
      <c r="BY35"/>
      <c r="BZ35"/>
      <c r="CA35"/>
      <c r="CB35"/>
      <c r="CC35"/>
      <c r="CD35"/>
      <c r="CE35"/>
      <c r="CF35"/>
      <c r="CG35"/>
      <c r="CH35"/>
      <c r="CI35"/>
      <c r="CJ35"/>
      <c r="CK35"/>
      <c r="CL35"/>
      <c r="CM35"/>
      <c r="CN35"/>
      <c r="CO35"/>
      <c r="CP35"/>
      <c r="CQ35"/>
      <c r="CR35"/>
      <c r="CS35" s="14"/>
    </row>
    <row r="36" spans="1:97" x14ac:dyDescent="0.25">
      <c r="A36" s="1" t="str">
        <f>IF(A35&lt;'Project Information'!B$11,A35+1,"")</f>
        <v/>
      </c>
      <c r="B36" s="223">
        <v>0</v>
      </c>
      <c r="C36" s="223">
        <v>0</v>
      </c>
      <c r="D36" s="223">
        <v>0</v>
      </c>
      <c r="E36" s="223">
        <v>0</v>
      </c>
      <c r="F36" s="223">
        <v>0</v>
      </c>
      <c r="G36" s="223">
        <v>0</v>
      </c>
      <c r="H36" s="223">
        <v>0</v>
      </c>
      <c r="I36" s="223">
        <v>0</v>
      </c>
      <c r="J36" s="223"/>
      <c r="K36" s="223"/>
      <c r="M36" s="13"/>
      <c r="N36" s="207" t="s">
        <v>312</v>
      </c>
      <c r="O36" s="180" t="s">
        <v>312</v>
      </c>
      <c r="P36" s="208">
        <f t="shared" si="7"/>
        <v>1065.6444315774856</v>
      </c>
      <c r="Q36"/>
      <c r="R36"/>
      <c r="S36"/>
      <c r="T36" s="186"/>
      <c r="U36"/>
      <c r="V36"/>
      <c r="W36"/>
      <c r="X36" s="180" t="s">
        <v>311</v>
      </c>
      <c r="Y36" s="180" t="s">
        <v>294</v>
      </c>
      <c r="Z36" s="182"/>
      <c r="AA36" s="183"/>
      <c r="AB36" s="183"/>
      <c r="AC36" s="182"/>
      <c r="AD36" s="183"/>
      <c r="AE36" s="183"/>
      <c r="AF36" s="183"/>
      <c r="AG36" s="183"/>
      <c r="AH36" s="183"/>
      <c r="AI36" s="183"/>
      <c r="AJ36" s="183">
        <v>38409</v>
      </c>
      <c r="AK36" s="183">
        <v>15094737</v>
      </c>
      <c r="AL36" s="183"/>
      <c r="AM36" s="183"/>
      <c r="AN36" s="183"/>
      <c r="AO36" s="183"/>
      <c r="AP36" s="183"/>
      <c r="AQ36" s="183"/>
      <c r="AR36" s="183">
        <f t="shared" si="9"/>
        <v>38409</v>
      </c>
      <c r="AS36" s="183">
        <f t="shared" si="10"/>
        <v>15094737</v>
      </c>
      <c r="AT36"/>
      <c r="AU36"/>
      <c r="AV36" s="194"/>
      <c r="AW36" s="186"/>
      <c r="AX36" s="188"/>
      <c r="AY36" s="188"/>
      <c r="AZ36" s="188"/>
      <c r="BA36" s="188"/>
      <c r="BB36" s="188"/>
      <c r="BC36" s="188"/>
      <c r="BD36" s="188"/>
      <c r="BE36" s="188"/>
      <c r="BF36" s="188"/>
      <c r="BG36" s="188"/>
      <c r="BH36" s="188"/>
      <c r="BI36" s="188"/>
      <c r="BJ36" s="188"/>
      <c r="BK36" s="188"/>
      <c r="BL36" s="188"/>
      <c r="BM36" s="188"/>
      <c r="BN36" s="186"/>
      <c r="BO36" s="186"/>
      <c r="BP36"/>
      <c r="BQ36"/>
      <c r="BR36"/>
      <c r="BS36"/>
      <c r="BT36"/>
      <c r="BU36"/>
      <c r="BV36"/>
      <c r="BW36"/>
      <c r="BX36"/>
      <c r="BY36"/>
      <c r="BZ36"/>
      <c r="CA36"/>
      <c r="CB36"/>
      <c r="CC36"/>
      <c r="CD36"/>
      <c r="CE36"/>
      <c r="CF36"/>
      <c r="CG36"/>
      <c r="CH36"/>
      <c r="CI36"/>
      <c r="CJ36"/>
      <c r="CK36"/>
      <c r="CL36"/>
      <c r="CM36"/>
      <c r="CN36"/>
      <c r="CO36"/>
      <c r="CP36"/>
      <c r="CQ36"/>
      <c r="CR36"/>
      <c r="CS36" s="14"/>
    </row>
    <row r="37" spans="1:97" x14ac:dyDescent="0.25">
      <c r="A37" s="1" t="str">
        <f>IF(A36&lt;'Project Information'!B$11,A36+1,"")</f>
        <v/>
      </c>
      <c r="B37" s="223">
        <v>0</v>
      </c>
      <c r="C37" s="223">
        <v>0</v>
      </c>
      <c r="D37" s="223">
        <v>0</v>
      </c>
      <c r="E37" s="223">
        <v>0</v>
      </c>
      <c r="F37" s="223">
        <v>0</v>
      </c>
      <c r="G37" s="223">
        <v>0</v>
      </c>
      <c r="H37" s="223">
        <v>0</v>
      </c>
      <c r="I37" s="223">
        <v>0</v>
      </c>
      <c r="J37" s="223"/>
      <c r="K37" s="223"/>
      <c r="M37" s="13"/>
      <c r="N37" s="207" t="s">
        <v>313</v>
      </c>
      <c r="O37" s="180" t="s">
        <v>276</v>
      </c>
      <c r="P37" s="208">
        <f t="shared" si="7"/>
        <v>3910.117401905833</v>
      </c>
      <c r="Q37"/>
      <c r="R37"/>
      <c r="S37"/>
      <c r="T37" s="186"/>
      <c r="U37"/>
      <c r="V37"/>
      <c r="W37"/>
      <c r="X37" s="180" t="s">
        <v>312</v>
      </c>
      <c r="Y37" s="180" t="s">
        <v>312</v>
      </c>
      <c r="Z37" s="182"/>
      <c r="AA37" s="183"/>
      <c r="AB37" s="183">
        <v>0</v>
      </c>
      <c r="AC37" s="182"/>
      <c r="AD37" s="183"/>
      <c r="AE37" s="183">
        <v>0</v>
      </c>
      <c r="AF37" s="183">
        <v>1547.72</v>
      </c>
      <c r="AG37" s="183">
        <v>608253.96</v>
      </c>
      <c r="AH37" s="183">
        <v>583.5688631549715</v>
      </c>
      <c r="AI37" s="183">
        <v>229342.56321990379</v>
      </c>
      <c r="AJ37" s="183"/>
      <c r="AK37" s="183">
        <v>0</v>
      </c>
      <c r="AL37" s="183"/>
      <c r="AM37" s="183"/>
      <c r="AN37" s="183"/>
      <c r="AO37" s="183"/>
      <c r="AP37" s="183"/>
      <c r="AQ37" s="183"/>
      <c r="AR37" s="183">
        <f t="shared" si="9"/>
        <v>1065.6444315774856</v>
      </c>
      <c r="AS37" s="183">
        <f t="shared" si="10"/>
        <v>167519.30464398075</v>
      </c>
      <c r="AT37"/>
      <c r="AU37"/>
      <c r="AV37" s="194"/>
      <c r="AW37" s="186"/>
      <c r="AX37" s="188"/>
      <c r="AY37" s="188"/>
      <c r="AZ37" s="188"/>
      <c r="BA37" s="188"/>
      <c r="BB37" s="188"/>
      <c r="BC37" s="188"/>
      <c r="BD37" s="188"/>
      <c r="BE37" s="188"/>
      <c r="BF37" s="188"/>
      <c r="BG37" s="188"/>
      <c r="BH37" s="188"/>
      <c r="BI37" s="188"/>
      <c r="BJ37" s="188"/>
      <c r="BK37" s="188"/>
      <c r="BL37" s="188"/>
      <c r="BM37" s="188"/>
      <c r="BN37" s="186"/>
      <c r="BO37" s="186"/>
      <c r="BP37"/>
      <c r="BQ37"/>
      <c r="BR37"/>
      <c r="BS37"/>
      <c r="BT37"/>
      <c r="BU37"/>
      <c r="BV37"/>
      <c r="BW37"/>
      <c r="BX37"/>
      <c r="BY37"/>
      <c r="BZ37"/>
      <c r="CA37"/>
      <c r="CB37"/>
      <c r="CC37"/>
      <c r="CD37"/>
      <c r="CE37"/>
      <c r="CF37"/>
      <c r="CG37"/>
      <c r="CH37"/>
      <c r="CI37"/>
      <c r="CJ37"/>
      <c r="CK37"/>
      <c r="CL37"/>
      <c r="CM37"/>
      <c r="CN37"/>
      <c r="CO37"/>
      <c r="CP37"/>
      <c r="CQ37"/>
      <c r="CR37"/>
      <c r="CS37" s="14"/>
    </row>
    <row r="38" spans="1:97" x14ac:dyDescent="0.25">
      <c r="A38" s="1" t="str">
        <f>IF(A37&lt;'Project Information'!B$11,A37+1,"")</f>
        <v/>
      </c>
      <c r="B38" s="223">
        <v>0</v>
      </c>
      <c r="C38" s="223">
        <v>0</v>
      </c>
      <c r="D38" s="223">
        <v>0</v>
      </c>
      <c r="E38" s="223">
        <v>0</v>
      </c>
      <c r="F38" s="223">
        <v>0</v>
      </c>
      <c r="G38" s="223">
        <v>0</v>
      </c>
      <c r="H38" s="223">
        <v>0</v>
      </c>
      <c r="I38" s="223">
        <v>0</v>
      </c>
      <c r="J38" s="223"/>
      <c r="K38" s="223"/>
      <c r="M38" s="13"/>
      <c r="N38" s="207" t="s">
        <v>314</v>
      </c>
      <c r="O38" s="180" t="s">
        <v>263</v>
      </c>
      <c r="P38" s="208">
        <f t="shared" si="7"/>
        <v>1889.2219805502841</v>
      </c>
      <c r="Q38"/>
      <c r="R38"/>
      <c r="S38"/>
      <c r="T38" s="186"/>
      <c r="U38"/>
      <c r="V38"/>
      <c r="W38"/>
      <c r="X38" s="180" t="s">
        <v>313</v>
      </c>
      <c r="Y38" s="180" t="s">
        <v>276</v>
      </c>
      <c r="Z38" s="182">
        <v>7.1999999999999998E-3</v>
      </c>
      <c r="AA38" s="183">
        <v>4739.7917520000001</v>
      </c>
      <c r="AB38" s="183">
        <v>1862738.1585359999</v>
      </c>
      <c r="AC38" s="182">
        <v>1.7600000000000001E-2</v>
      </c>
      <c r="AD38" s="183">
        <v>5571.2314240000005</v>
      </c>
      <c r="AE38" s="183">
        <v>2189493.9496320002</v>
      </c>
      <c r="AF38" s="183">
        <v>3122.46</v>
      </c>
      <c r="AG38" s="183">
        <v>1227126.78</v>
      </c>
      <c r="AH38" s="183">
        <v>5065.1038335291641</v>
      </c>
      <c r="AI38" s="183">
        <v>1990585.8065769614</v>
      </c>
      <c r="AJ38" s="183">
        <v>1052</v>
      </c>
      <c r="AK38" s="183">
        <v>413436</v>
      </c>
      <c r="AL38" s="183"/>
      <c r="AM38" s="183"/>
      <c r="AN38" s="183"/>
      <c r="AO38" s="183"/>
      <c r="AP38" s="183"/>
      <c r="AQ38" s="183"/>
      <c r="AR38" s="183">
        <f t="shared" si="9"/>
        <v>3910.117401905833</v>
      </c>
      <c r="AS38" s="183">
        <f t="shared" si="10"/>
        <v>1536676.1389489924</v>
      </c>
      <c r="AT38"/>
      <c r="AU38"/>
      <c r="AV38" s="194"/>
      <c r="AW38" s="186"/>
      <c r="AX38" s="188"/>
      <c r="AY38" s="188"/>
      <c r="AZ38" s="188"/>
      <c r="BA38" s="188"/>
      <c r="BB38" s="188"/>
      <c r="BC38" s="188"/>
      <c r="BD38" s="188"/>
      <c r="BE38" s="188"/>
      <c r="BF38" s="188"/>
      <c r="BG38" s="188"/>
      <c r="BH38" s="188"/>
      <c r="BI38" s="188"/>
      <c r="BJ38" s="188"/>
      <c r="BK38" s="188"/>
      <c r="BL38" s="188"/>
      <c r="BM38" s="188"/>
      <c r="BN38" s="186"/>
      <c r="BO38" s="186"/>
      <c r="BP38"/>
      <c r="BQ38"/>
      <c r="BR38"/>
      <c r="BS38"/>
      <c r="BT38"/>
      <c r="BU38"/>
      <c r="BV38"/>
      <c r="BW38"/>
      <c r="BX38"/>
      <c r="BY38"/>
      <c r="BZ38"/>
      <c r="CA38"/>
      <c r="CB38"/>
      <c r="CC38"/>
      <c r="CD38"/>
      <c r="CE38"/>
      <c r="CF38"/>
      <c r="CG38"/>
      <c r="CH38"/>
      <c r="CI38"/>
      <c r="CJ38"/>
      <c r="CK38"/>
      <c r="CL38"/>
      <c r="CM38"/>
      <c r="CN38"/>
      <c r="CO38"/>
      <c r="CP38"/>
      <c r="CQ38"/>
      <c r="CR38"/>
      <c r="CS38" s="14"/>
    </row>
    <row r="39" spans="1:97" ht="15.75" thickBot="1" x14ac:dyDescent="0.3">
      <c r="A39" s="1" t="str">
        <f>IF(A38&lt;'Project Information'!B$11,A38+1,"")</f>
        <v/>
      </c>
      <c r="B39" s="223">
        <v>0</v>
      </c>
      <c r="C39" s="223">
        <v>0</v>
      </c>
      <c r="D39" s="223">
        <v>0</v>
      </c>
      <c r="E39" s="223">
        <v>0</v>
      </c>
      <c r="F39" s="223">
        <v>0</v>
      </c>
      <c r="G39" s="223">
        <v>0</v>
      </c>
      <c r="H39" s="223">
        <v>0</v>
      </c>
      <c r="I39" s="223">
        <v>0</v>
      </c>
      <c r="J39" s="223"/>
      <c r="K39" s="223"/>
      <c r="M39" s="13"/>
      <c r="N39" s="209" t="s">
        <v>305</v>
      </c>
      <c r="O39" s="210"/>
      <c r="P39" s="211">
        <f t="shared" si="7"/>
        <v>540046.91086433898</v>
      </c>
      <c r="Q39"/>
      <c r="R39" s="252"/>
      <c r="S39"/>
      <c r="T39" s="186"/>
      <c r="U39"/>
      <c r="V39"/>
      <c r="W39"/>
      <c r="X39" s="180" t="s">
        <v>314</v>
      </c>
      <c r="Y39" s="180" t="s">
        <v>263</v>
      </c>
      <c r="Z39" s="182">
        <v>2.3999999999999998E-3</v>
      </c>
      <c r="AA39" s="183">
        <v>1579.930584</v>
      </c>
      <c r="AB39" s="183">
        <v>620912.71951199998</v>
      </c>
      <c r="AC39" s="182">
        <v>9.2999999999999992E-3</v>
      </c>
      <c r="AD39" s="183">
        <v>2943.8893319999997</v>
      </c>
      <c r="AE39" s="183">
        <v>1156948.5074759999</v>
      </c>
      <c r="AF39" s="183">
        <v>1540.67</v>
      </c>
      <c r="AG39" s="183">
        <v>605483.31000000006</v>
      </c>
      <c r="AH39" s="183">
        <v>2286.6199867514206</v>
      </c>
      <c r="AI39" s="183">
        <v>898641.65479330823</v>
      </c>
      <c r="AJ39" s="183">
        <v>1095</v>
      </c>
      <c r="AK39" s="183">
        <v>430335</v>
      </c>
      <c r="AL39" s="183"/>
      <c r="AM39" s="183"/>
      <c r="AN39" s="183"/>
      <c r="AO39" s="183"/>
      <c r="AP39" s="183"/>
      <c r="AQ39" s="183"/>
      <c r="AR39" s="183">
        <f t="shared" si="9"/>
        <v>1889.2219805502841</v>
      </c>
      <c r="AS39" s="183">
        <f t="shared" si="10"/>
        <v>742464.23835626163</v>
      </c>
      <c r="AT39"/>
      <c r="AU39"/>
      <c r="AV39" s="194"/>
      <c r="AW39" s="186"/>
      <c r="AX39" s="188"/>
      <c r="AY39" s="188"/>
      <c r="AZ39" s="188"/>
      <c r="BA39" s="188"/>
      <c r="BB39" s="188"/>
      <c r="BC39" s="188"/>
      <c r="BD39" s="188"/>
      <c r="BE39" s="188"/>
      <c r="BF39" s="188"/>
      <c r="BG39" s="188"/>
      <c r="BH39" s="188"/>
      <c r="BI39" s="188"/>
      <c r="BJ39" s="188"/>
      <c r="BK39" s="188"/>
      <c r="BL39" s="188"/>
      <c r="BM39" s="188"/>
      <c r="BN39" s="186"/>
      <c r="BO39" s="186"/>
      <c r="BP39"/>
      <c r="BQ39"/>
      <c r="BR39"/>
      <c r="BS39"/>
      <c r="BT39"/>
      <c r="BU39"/>
      <c r="BV39"/>
      <c r="BW39"/>
      <c r="BX39"/>
      <c r="BY39"/>
      <c r="BZ39"/>
      <c r="CA39"/>
      <c r="CB39"/>
      <c r="CC39"/>
      <c r="CD39"/>
      <c r="CE39"/>
      <c r="CF39"/>
      <c r="CG39"/>
      <c r="CH39"/>
      <c r="CI39"/>
      <c r="CJ39"/>
      <c r="CK39"/>
      <c r="CL39"/>
      <c r="CM39"/>
      <c r="CN39"/>
      <c r="CO39"/>
      <c r="CP39"/>
      <c r="CQ39"/>
      <c r="CR39"/>
      <c r="CS39" s="14"/>
    </row>
    <row r="40" spans="1:97" s="5" customFormat="1" x14ac:dyDescent="0.25">
      <c r="M40" s="146"/>
      <c r="T40" s="187"/>
      <c r="X40" s="199" t="s">
        <v>305</v>
      </c>
      <c r="Y40" s="199"/>
      <c r="Z40" s="200"/>
      <c r="AA40" s="201">
        <f>SUM(AA14:AA39)</f>
        <v>658304.40999999992</v>
      </c>
      <c r="AB40" s="201">
        <f t="shared" ref="AB40:AK40" si="15">SUM(AB14:AB39)</f>
        <v>258713633.12999997</v>
      </c>
      <c r="AC40" s="201">
        <f t="shared" si="15"/>
        <v>0.9997999999999998</v>
      </c>
      <c r="AD40" s="201">
        <f t="shared" si="15"/>
        <v>316483.93055200001</v>
      </c>
      <c r="AE40" s="201">
        <f t="shared" si="15"/>
        <v>124378184.70693603</v>
      </c>
      <c r="AF40" s="201">
        <f t="shared" si="15"/>
        <v>455793.91999999993</v>
      </c>
      <c r="AG40" s="201">
        <f t="shared" si="15"/>
        <v>179127010.56</v>
      </c>
      <c r="AH40" s="201">
        <f t="shared" si="15"/>
        <v>539402</v>
      </c>
      <c r="AI40" s="201">
        <f t="shared" si="15"/>
        <v>211984986</v>
      </c>
      <c r="AJ40" s="201">
        <f t="shared" si="15"/>
        <v>550428</v>
      </c>
      <c r="AK40" s="241">
        <f t="shared" si="15"/>
        <v>216318204</v>
      </c>
      <c r="AL40" s="243">
        <f>AJ40+(AJ40*$P$42)</f>
        <v>555932.28</v>
      </c>
      <c r="AM40" s="243">
        <f>AL40+(AL40*$P$42)</f>
        <v>561491.60279999999</v>
      </c>
      <c r="AN40" s="243">
        <f t="shared" ref="AN40:AQ40" si="16">AM40+(AM40*$P$42)</f>
        <v>567106.51882799994</v>
      </c>
      <c r="AO40" s="243">
        <f t="shared" si="16"/>
        <v>572777.5840162799</v>
      </c>
      <c r="AP40" s="243">
        <f t="shared" si="16"/>
        <v>578505.35985644266</v>
      </c>
      <c r="AQ40" s="243">
        <f t="shared" si="16"/>
        <v>584290.41345500713</v>
      </c>
      <c r="AR40" s="244">
        <f>AVERAGE(AA40,AD40,AF40,AH40,AJ40,AL40:AQ40)</f>
        <v>540046.91086433898</v>
      </c>
      <c r="AS40" s="202">
        <f t="shared" si="10"/>
        <v>198104403.67938718</v>
      </c>
      <c r="AV40" s="195"/>
      <c r="AW40" s="187"/>
      <c r="AX40" s="189"/>
      <c r="AY40" s="189"/>
      <c r="AZ40" s="189"/>
      <c r="BA40" s="189"/>
      <c r="BB40" s="189"/>
      <c r="BC40" s="189"/>
      <c r="BD40" s="189"/>
      <c r="BE40" s="189"/>
      <c r="BF40" s="189"/>
      <c r="BG40" s="189"/>
      <c r="BH40" s="189"/>
      <c r="BI40" s="189"/>
      <c r="BJ40" s="189"/>
      <c r="BK40" s="189"/>
      <c r="BL40" s="189"/>
      <c r="BM40" s="189"/>
      <c r="BN40" s="187"/>
      <c r="BO40" s="187"/>
      <c r="CS40" s="147"/>
    </row>
    <row r="41" spans="1:97" s="5" customFormat="1" ht="15.75" thickBot="1" x14ac:dyDescent="0.3">
      <c r="M41" s="146"/>
      <c r="T41" s="187"/>
      <c r="X41" s="350" t="s">
        <v>315</v>
      </c>
      <c r="Y41" s="350"/>
      <c r="Z41" s="350"/>
      <c r="AA41" s="350"/>
      <c r="AB41" s="350"/>
      <c r="AC41" s="350"/>
      <c r="AD41" s="350"/>
      <c r="AE41" s="350"/>
      <c r="AF41" s="350"/>
      <c r="AG41" s="350"/>
      <c r="AH41" s="350"/>
      <c r="AI41" s="350"/>
      <c r="AJ41" s="350"/>
      <c r="AK41" s="347"/>
      <c r="AL41" s="235"/>
      <c r="AM41" s="235"/>
      <c r="AN41" s="235"/>
      <c r="AO41" s="235"/>
      <c r="AP41" s="235"/>
      <c r="AQ41" s="235"/>
      <c r="AR41" s="185"/>
      <c r="AS41" s="185"/>
      <c r="AV41" s="195"/>
      <c r="AW41" s="187"/>
      <c r="AX41" s="189"/>
      <c r="AY41" s="189"/>
      <c r="AZ41" s="189"/>
      <c r="BA41" s="189"/>
      <c r="BB41" s="189"/>
      <c r="BC41" s="189"/>
      <c r="BD41" s="189"/>
      <c r="BE41" s="189"/>
      <c r="BF41" s="189"/>
      <c r="BG41" s="189"/>
      <c r="BH41" s="189"/>
      <c r="BI41" s="189"/>
      <c r="BJ41" s="189"/>
      <c r="BK41" s="189"/>
      <c r="BL41" s="189"/>
      <c r="BM41" s="189"/>
      <c r="BN41" s="187"/>
      <c r="BO41" s="187"/>
      <c r="CS41" s="147"/>
    </row>
    <row r="42" spans="1:97" s="5" customFormat="1" ht="15.75" thickBot="1" x14ac:dyDescent="0.3">
      <c r="B42" s="252"/>
      <c r="C42" s="252"/>
      <c r="E42" s="379"/>
      <c r="M42" s="146"/>
      <c r="N42" s="359" t="s">
        <v>316</v>
      </c>
      <c r="O42" s="360"/>
      <c r="P42" s="218">
        <v>0.01</v>
      </c>
      <c r="T42" s="187"/>
      <c r="X42" s="350" t="s">
        <v>317</v>
      </c>
      <c r="Y42" s="350"/>
      <c r="Z42" s="350"/>
      <c r="AA42" s="350"/>
      <c r="AB42" s="350"/>
      <c r="AC42" s="350"/>
      <c r="AD42" s="350"/>
      <c r="AE42" s="350"/>
      <c r="AF42" s="350"/>
      <c r="AG42" s="350"/>
      <c r="AH42" s="350"/>
      <c r="AI42" s="350"/>
      <c r="AJ42" s="350"/>
      <c r="AK42" s="347"/>
      <c r="AL42" s="235"/>
      <c r="AM42" s="235"/>
      <c r="AN42" s="235"/>
      <c r="AO42" s="235"/>
      <c r="AP42" s="235"/>
      <c r="AQ42" s="235"/>
      <c r="AR42" s="185"/>
      <c r="AS42" s="185"/>
      <c r="AV42" s="195"/>
      <c r="AW42" s="187"/>
      <c r="AX42" s="189"/>
      <c r="AY42" s="189"/>
      <c r="AZ42" s="189"/>
      <c r="BA42" s="189"/>
      <c r="BB42" s="189"/>
      <c r="BC42" s="189"/>
      <c r="BD42" s="189"/>
      <c r="BE42" s="189"/>
      <c r="BF42" s="189"/>
      <c r="BG42" s="189"/>
      <c r="BH42" s="189"/>
      <c r="BI42" s="189"/>
      <c r="BJ42" s="189"/>
      <c r="BK42" s="189"/>
      <c r="BL42" s="189"/>
      <c r="BM42" s="189"/>
      <c r="BN42" s="187"/>
      <c r="BO42" s="187"/>
      <c r="CS42" s="147"/>
    </row>
    <row r="43" spans="1:97" s="5" customFormat="1" x14ac:dyDescent="0.25">
      <c r="E43" s="379"/>
      <c r="M43" s="146"/>
      <c r="T43" s="187"/>
      <c r="AR43" s="42"/>
      <c r="AS43" s="42"/>
      <c r="AV43" s="191"/>
      <c r="BN43" s="187"/>
      <c r="BO43" s="187"/>
      <c r="CS43" s="147"/>
    </row>
    <row r="44" spans="1:97" s="5" customFormat="1" x14ac:dyDescent="0.25">
      <c r="M44" s="146"/>
      <c r="T44" s="187"/>
      <c r="AR44" s="42"/>
      <c r="AS44" s="42"/>
      <c r="AV44" s="191"/>
      <c r="BN44" s="187"/>
      <c r="BO44" s="187"/>
      <c r="CS44" s="147"/>
    </row>
    <row r="45" spans="1:97" s="5" customFormat="1" x14ac:dyDescent="0.25">
      <c r="M45" s="146"/>
      <c r="N45" s="184" t="s">
        <v>318</v>
      </c>
      <c r="O45" s="184" t="s">
        <v>319</v>
      </c>
      <c r="P45" s="184" t="s">
        <v>320</v>
      </c>
      <c r="Q45" s="184" t="s">
        <v>321</v>
      </c>
      <c r="R45" s="187"/>
      <c r="S45" s="350" t="s">
        <v>322</v>
      </c>
      <c r="T45" s="350"/>
      <c r="Z45" s="222" t="s">
        <v>323</v>
      </c>
      <c r="AA45" s="184" t="s">
        <v>324</v>
      </c>
      <c r="AR45" s="42"/>
      <c r="AS45" s="42"/>
      <c r="AV45" s="191"/>
      <c r="BN45" s="187"/>
      <c r="BO45" s="187"/>
      <c r="CS45" s="147"/>
    </row>
    <row r="46" spans="1:97" s="5" customFormat="1" x14ac:dyDescent="0.25">
      <c r="M46" s="146"/>
      <c r="N46" s="185" t="s">
        <v>325</v>
      </c>
      <c r="O46" s="185">
        <v>6</v>
      </c>
      <c r="P46" s="185">
        <v>2025</v>
      </c>
      <c r="Q46" s="220">
        <v>1</v>
      </c>
      <c r="R46" s="187"/>
      <c r="S46" s="42" t="s">
        <v>326</v>
      </c>
      <c r="T46" s="220">
        <v>0.52</v>
      </c>
      <c r="Z46" s="185" t="s">
        <v>327</v>
      </c>
      <c r="AA46" s="185">
        <v>308.7</v>
      </c>
      <c r="AR46" s="42"/>
      <c r="AS46" s="42"/>
      <c r="AV46" s="191"/>
      <c r="BN46" s="187"/>
      <c r="BO46" s="187"/>
      <c r="CS46" s="147"/>
    </row>
    <row r="47" spans="1:97" s="5" customFormat="1" x14ac:dyDescent="0.25">
      <c r="M47" s="146"/>
      <c r="N47" s="185" t="s">
        <v>328</v>
      </c>
      <c r="O47" s="185">
        <v>20</v>
      </c>
      <c r="P47" s="185">
        <v>2025</v>
      </c>
      <c r="Q47" s="220">
        <v>0.3</v>
      </c>
      <c r="R47" s="187"/>
      <c r="S47" s="42" t="s">
        <v>329</v>
      </c>
      <c r="T47" s="220">
        <v>0.13</v>
      </c>
      <c r="Z47" s="185" t="s">
        <v>330</v>
      </c>
      <c r="AA47" s="185">
        <v>393</v>
      </c>
      <c r="AR47" s="42"/>
      <c r="AS47" s="42"/>
      <c r="AV47" s="191"/>
      <c r="BN47" s="187"/>
      <c r="BO47" s="187"/>
      <c r="CS47" s="147"/>
    </row>
    <row r="48" spans="1:97" s="5" customFormat="1" ht="30" x14ac:dyDescent="0.25">
      <c r="M48" s="146"/>
      <c r="N48" s="347" t="s">
        <v>331</v>
      </c>
      <c r="O48" s="348"/>
      <c r="P48" s="348"/>
      <c r="Q48" s="349"/>
      <c r="R48" s="219"/>
      <c r="S48" s="251" t="s">
        <v>332</v>
      </c>
      <c r="T48" s="220">
        <v>0.35</v>
      </c>
      <c r="Z48" s="185" t="s">
        <v>333</v>
      </c>
      <c r="AA48" s="185">
        <v>445</v>
      </c>
      <c r="AR48" s="42"/>
      <c r="AS48" s="42"/>
      <c r="AV48" s="191"/>
      <c r="BN48" s="187"/>
      <c r="BO48" s="187"/>
      <c r="CS48" s="147"/>
    </row>
    <row r="49" spans="13:97" s="5" customFormat="1" x14ac:dyDescent="0.25">
      <c r="M49" s="146"/>
      <c r="S49" s="199" t="s">
        <v>334</v>
      </c>
      <c r="T49" s="185"/>
      <c r="Z49" s="185" t="s">
        <v>335</v>
      </c>
      <c r="AA49" s="185">
        <v>136.30000000000001</v>
      </c>
      <c r="AR49" s="42"/>
      <c r="AS49" s="42"/>
      <c r="AV49" s="191"/>
      <c r="BN49" s="187"/>
      <c r="BO49" s="187"/>
      <c r="CS49" s="147"/>
    </row>
    <row r="50" spans="13:97" s="5" customFormat="1" x14ac:dyDescent="0.25">
      <c r="M50" s="146"/>
      <c r="T50" s="187"/>
      <c r="Z50" s="185" t="s">
        <v>336</v>
      </c>
      <c r="AA50" s="185">
        <v>419</v>
      </c>
      <c r="AR50" s="42"/>
      <c r="AS50" s="42"/>
      <c r="AV50" s="191"/>
      <c r="BN50" s="187"/>
      <c r="BO50" s="187"/>
      <c r="CS50" s="147"/>
    </row>
    <row r="51" spans="13:97" s="5" customFormat="1" x14ac:dyDescent="0.25">
      <c r="M51" s="146"/>
      <c r="N51" s="5" t="s">
        <v>337</v>
      </c>
      <c r="T51" s="187"/>
      <c r="Z51" s="221" t="s">
        <v>338</v>
      </c>
      <c r="AV51" s="191"/>
      <c r="BN51" s="187"/>
      <c r="BO51" s="187"/>
      <c r="CS51" s="147"/>
    </row>
    <row r="52" spans="13:97" s="5" customFormat="1" x14ac:dyDescent="0.25">
      <c r="M52" s="146"/>
      <c r="T52" s="187"/>
      <c r="AV52" s="191"/>
      <c r="BN52" s="187"/>
      <c r="BO52" s="187"/>
      <c r="CS52" s="147"/>
    </row>
    <row r="53" spans="13:97" s="5" customFormat="1" x14ac:dyDescent="0.25">
      <c r="M53" s="146"/>
      <c r="S53" s="184" t="s">
        <v>339</v>
      </c>
      <c r="T53" s="184" t="s">
        <v>340</v>
      </c>
      <c r="U53" s="184" t="s">
        <v>341</v>
      </c>
      <c r="V53" s="184" t="s">
        <v>342</v>
      </c>
      <c r="W53" s="184" t="s">
        <v>343</v>
      </c>
      <c r="AV53" s="191"/>
      <c r="BN53" s="187"/>
      <c r="BO53" s="187"/>
      <c r="CS53" s="147"/>
    </row>
    <row r="54" spans="13:97" s="5" customFormat="1" x14ac:dyDescent="0.25">
      <c r="M54" s="146"/>
      <c r="S54" s="42" t="s">
        <v>344</v>
      </c>
      <c r="T54" s="185" t="s">
        <v>345</v>
      </c>
      <c r="U54" s="185" t="s">
        <v>346</v>
      </c>
      <c r="V54" s="185" t="s">
        <v>347</v>
      </c>
      <c r="W54" s="224">
        <v>255</v>
      </c>
      <c r="X54" s="5" t="s">
        <v>348</v>
      </c>
      <c r="AV54" s="191"/>
      <c r="BN54" s="187"/>
      <c r="BO54" s="187"/>
      <c r="CS54" s="147"/>
    </row>
    <row r="55" spans="13:97" s="5" customFormat="1" x14ac:dyDescent="0.25">
      <c r="M55" s="146"/>
      <c r="S55" s="42" t="s">
        <v>349</v>
      </c>
      <c r="T55" s="185" t="s">
        <v>345</v>
      </c>
      <c r="U55" s="185" t="s">
        <v>330</v>
      </c>
      <c r="V55" s="185" t="s">
        <v>350</v>
      </c>
      <c r="W55" s="224">
        <v>214</v>
      </c>
      <c r="X55" s="5" t="s">
        <v>348</v>
      </c>
      <c r="AV55" s="191"/>
      <c r="BN55" s="187"/>
      <c r="BO55" s="187"/>
      <c r="CS55" s="147"/>
    </row>
    <row r="56" spans="13:97" s="5" customFormat="1" x14ac:dyDescent="0.25">
      <c r="M56" s="146"/>
      <c r="S56" s="42" t="s">
        <v>351</v>
      </c>
      <c r="T56" s="185" t="s">
        <v>345</v>
      </c>
      <c r="U56" s="185" t="s">
        <v>333</v>
      </c>
      <c r="V56" s="185"/>
      <c r="W56" s="224">
        <v>279</v>
      </c>
      <c r="X56" s="5" t="s">
        <v>352</v>
      </c>
      <c r="AV56" s="191"/>
      <c r="BN56" s="187"/>
      <c r="BO56" s="187"/>
      <c r="CS56" s="147"/>
    </row>
    <row r="57" spans="13:97" s="5" customFormat="1" x14ac:dyDescent="0.25">
      <c r="M57" s="146"/>
      <c r="S57" s="42" t="s">
        <v>353</v>
      </c>
      <c r="T57" s="185" t="s">
        <v>345</v>
      </c>
      <c r="U57" s="185" t="s">
        <v>330</v>
      </c>
      <c r="V57" s="185"/>
      <c r="W57" s="224">
        <v>232</v>
      </c>
      <c r="X57" s="5" t="s">
        <v>352</v>
      </c>
      <c r="AV57" s="191"/>
      <c r="BN57" s="187"/>
      <c r="BO57" s="187"/>
      <c r="CS57" s="147"/>
    </row>
    <row r="58" spans="13:97" s="5" customFormat="1" x14ac:dyDescent="0.25">
      <c r="M58" s="146"/>
      <c r="S58" s="199" t="s">
        <v>354</v>
      </c>
      <c r="T58" s="185"/>
      <c r="U58" s="42"/>
      <c r="V58" s="42"/>
      <c r="W58" s="42"/>
      <c r="AV58" s="191"/>
      <c r="BN58" s="187"/>
      <c r="BO58" s="187"/>
      <c r="CS58" s="147"/>
    </row>
    <row r="59" spans="13:97" s="5" customFormat="1" x14ac:dyDescent="0.25">
      <c r="M59" s="146"/>
      <c r="T59" s="187"/>
      <c r="AV59" s="191"/>
      <c r="BN59" s="187"/>
      <c r="BO59" s="187"/>
      <c r="CS59" s="147"/>
    </row>
    <row r="60" spans="13:97" s="5" customFormat="1" x14ac:dyDescent="0.25">
      <c r="M60" s="146"/>
      <c r="T60" s="187"/>
      <c r="AV60" s="191"/>
      <c r="BN60" s="187"/>
      <c r="BO60" s="187"/>
      <c r="CS60" s="147"/>
    </row>
    <row r="61" spans="13:97" s="5" customFormat="1" x14ac:dyDescent="0.25">
      <c r="M61" s="146"/>
      <c r="T61" s="187"/>
      <c r="AV61" s="191"/>
      <c r="BN61" s="187"/>
      <c r="BO61" s="187"/>
      <c r="CS61" s="147"/>
    </row>
    <row r="62" spans="13:97" s="5" customFormat="1" x14ac:dyDescent="0.25">
      <c r="M62" s="146"/>
      <c r="T62" s="187"/>
      <c r="AV62" s="191"/>
      <c r="BN62" s="187"/>
      <c r="BO62" s="187"/>
      <c r="CS62" s="147"/>
    </row>
    <row r="63" spans="13:97" s="5" customFormat="1" x14ac:dyDescent="0.25">
      <c r="M63" s="146"/>
      <c r="T63" s="187"/>
      <c r="AV63" s="191"/>
      <c r="BN63" s="187"/>
      <c r="BO63" s="187"/>
      <c r="CS63" s="147"/>
    </row>
    <row r="64" spans="13:97" s="5" customFormat="1" x14ac:dyDescent="0.25">
      <c r="M64" s="146"/>
      <c r="T64" s="187"/>
      <c r="AV64" s="191"/>
      <c r="BN64" s="187"/>
      <c r="BO64" s="187"/>
      <c r="CS64" s="147"/>
    </row>
    <row r="65" spans="13:97" s="5" customFormat="1" ht="15.75" thickBot="1" x14ac:dyDescent="0.3">
      <c r="M65" s="148"/>
      <c r="N65" s="149"/>
      <c r="O65" s="149"/>
      <c r="P65" s="149"/>
      <c r="Q65" s="149"/>
      <c r="R65" s="149"/>
      <c r="S65" s="149"/>
      <c r="T65" s="204"/>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96"/>
      <c r="AW65" s="149"/>
      <c r="AX65" s="149"/>
      <c r="AY65" s="149"/>
      <c r="AZ65" s="149"/>
      <c r="BA65" s="149"/>
      <c r="BB65" s="149"/>
      <c r="BC65" s="149"/>
      <c r="BD65" s="149"/>
      <c r="BE65" s="149"/>
      <c r="BF65" s="149"/>
      <c r="BG65" s="149"/>
      <c r="BH65" s="149"/>
      <c r="BI65" s="149"/>
      <c r="BJ65" s="149"/>
      <c r="BK65" s="149"/>
      <c r="BL65" s="149"/>
      <c r="BM65" s="149"/>
      <c r="BN65" s="204"/>
      <c r="BO65" s="204"/>
      <c r="BP65" s="149"/>
      <c r="BQ65" s="149"/>
      <c r="BR65" s="149"/>
      <c r="BS65" s="149"/>
      <c r="BT65" s="149"/>
      <c r="BU65" s="149"/>
      <c r="BV65" s="149"/>
      <c r="BW65" s="149"/>
      <c r="BX65" s="149"/>
      <c r="BY65" s="149"/>
      <c r="BZ65" s="149"/>
      <c r="CA65" s="149"/>
      <c r="CB65" s="149"/>
      <c r="CC65" s="149"/>
      <c r="CD65" s="149"/>
      <c r="CE65" s="149"/>
      <c r="CF65" s="149"/>
      <c r="CG65" s="149"/>
      <c r="CH65" s="149"/>
      <c r="CI65" s="149"/>
      <c r="CJ65" s="149"/>
      <c r="CK65" s="149"/>
      <c r="CL65" s="149"/>
      <c r="CM65" s="149"/>
      <c r="CN65" s="149"/>
      <c r="CO65" s="149"/>
      <c r="CP65" s="149"/>
      <c r="CQ65" s="149"/>
      <c r="CR65" s="149"/>
      <c r="CS65" s="150"/>
    </row>
    <row r="66" spans="13:97" s="5" customFormat="1" x14ac:dyDescent="0.25">
      <c r="T66" s="187"/>
      <c r="AV66" s="191"/>
      <c r="BN66" s="187"/>
      <c r="BO66" s="187"/>
    </row>
    <row r="67" spans="13:97" s="5" customFormat="1" x14ac:dyDescent="0.25">
      <c r="T67" s="187"/>
      <c r="AV67" s="191"/>
      <c r="BN67" s="187"/>
      <c r="BO67" s="187"/>
    </row>
    <row r="68" spans="13:97" s="5" customFormat="1" x14ac:dyDescent="0.25">
      <c r="T68" s="187"/>
      <c r="AV68" s="191"/>
      <c r="BN68" s="187"/>
      <c r="BO68" s="187"/>
    </row>
    <row r="69" spans="13:97" s="5" customFormat="1" x14ac:dyDescent="0.25">
      <c r="T69" s="187"/>
      <c r="AV69" s="191"/>
      <c r="BN69" s="187"/>
      <c r="BO69" s="187"/>
    </row>
    <row r="70" spans="13:97" s="5" customFormat="1" x14ac:dyDescent="0.25">
      <c r="T70" s="187"/>
      <c r="AV70" s="191"/>
      <c r="BN70" s="187"/>
      <c r="BO70" s="187"/>
    </row>
    <row r="71" spans="13:97" s="5" customFormat="1" x14ac:dyDescent="0.25">
      <c r="T71" s="187"/>
      <c r="AV71" s="191"/>
      <c r="BN71" s="187"/>
      <c r="BO71" s="187"/>
    </row>
    <row r="72" spans="13:97" s="5" customFormat="1" x14ac:dyDescent="0.25">
      <c r="T72" s="187"/>
      <c r="AV72" s="191"/>
      <c r="BN72" s="187"/>
      <c r="BO72" s="187"/>
    </row>
    <row r="73" spans="13:97" s="5" customFormat="1" x14ac:dyDescent="0.25">
      <c r="T73" s="187"/>
      <c r="AV73" s="191"/>
      <c r="BN73" s="187"/>
      <c r="BO73" s="187"/>
    </row>
    <row r="74" spans="13:97" s="5" customFormat="1" x14ac:dyDescent="0.25">
      <c r="T74" s="187"/>
      <c r="AV74" s="191"/>
      <c r="BN74" s="187"/>
      <c r="BO74" s="187"/>
    </row>
    <row r="75" spans="13:97" s="5" customFormat="1" x14ac:dyDescent="0.25">
      <c r="T75" s="187"/>
      <c r="AV75" s="191"/>
      <c r="BN75" s="187"/>
      <c r="BO75" s="187"/>
    </row>
    <row r="76" spans="13:97" s="5" customFormat="1" x14ac:dyDescent="0.25">
      <c r="T76" s="187"/>
      <c r="AV76" s="191"/>
      <c r="BN76" s="187"/>
      <c r="BO76" s="187"/>
    </row>
    <row r="77" spans="13:97" s="5" customFormat="1" x14ac:dyDescent="0.25">
      <c r="T77" s="187"/>
      <c r="AV77" s="191"/>
      <c r="BN77" s="187"/>
      <c r="BO77" s="187"/>
    </row>
    <row r="78" spans="13:97" s="5" customFormat="1" x14ac:dyDescent="0.25">
      <c r="T78" s="187"/>
      <c r="AV78" s="191"/>
      <c r="BN78" s="187"/>
      <c r="BO78" s="187"/>
    </row>
    <row r="79" spans="13:97" s="5" customFormat="1" x14ac:dyDescent="0.25">
      <c r="T79" s="187"/>
      <c r="AV79" s="191"/>
      <c r="BN79" s="187"/>
      <c r="BO79" s="187"/>
    </row>
    <row r="80" spans="13:97" s="5" customFormat="1" x14ac:dyDescent="0.25">
      <c r="T80" s="187"/>
      <c r="AV80" s="191"/>
      <c r="BN80" s="187"/>
      <c r="BO80" s="187"/>
    </row>
    <row r="81" spans="20:67" s="5" customFormat="1" x14ac:dyDescent="0.25">
      <c r="T81" s="187"/>
      <c r="AV81" s="191"/>
      <c r="BN81" s="187"/>
      <c r="BO81" s="187"/>
    </row>
    <row r="82" spans="20:67" s="5" customFormat="1" x14ac:dyDescent="0.25">
      <c r="T82" s="187"/>
      <c r="AV82" s="191"/>
      <c r="BN82" s="187"/>
      <c r="BO82" s="187"/>
    </row>
    <row r="83" spans="20:67" s="5" customFormat="1" x14ac:dyDescent="0.25">
      <c r="T83" s="187"/>
      <c r="AV83" s="191"/>
      <c r="BN83" s="187"/>
      <c r="BO83" s="187"/>
    </row>
    <row r="84" spans="20:67" s="5" customFormat="1" x14ac:dyDescent="0.25">
      <c r="T84" s="187"/>
      <c r="AV84" s="191"/>
      <c r="BN84" s="187"/>
      <c r="BO84" s="187"/>
    </row>
    <row r="85" spans="20:67" s="5" customFormat="1" x14ac:dyDescent="0.25">
      <c r="T85" s="187"/>
      <c r="AV85" s="191"/>
      <c r="BN85" s="187"/>
      <c r="BO85" s="187"/>
    </row>
    <row r="86" spans="20:67" s="5" customFormat="1" x14ac:dyDescent="0.25">
      <c r="T86" s="187"/>
      <c r="AV86" s="191"/>
      <c r="BN86" s="187"/>
      <c r="BO86" s="187"/>
    </row>
    <row r="87" spans="20:67" s="5" customFormat="1" x14ac:dyDescent="0.25">
      <c r="T87" s="187"/>
      <c r="AV87" s="191"/>
      <c r="BN87" s="187"/>
      <c r="BO87" s="187"/>
    </row>
    <row r="88" spans="20:67" s="5" customFormat="1" x14ac:dyDescent="0.25">
      <c r="T88" s="187"/>
      <c r="AV88" s="191"/>
      <c r="BN88" s="187"/>
      <c r="BO88" s="187"/>
    </row>
    <row r="89" spans="20:67" s="5" customFormat="1" x14ac:dyDescent="0.25">
      <c r="T89" s="187"/>
      <c r="AV89" s="191"/>
      <c r="BN89" s="187"/>
      <c r="BO89" s="187"/>
    </row>
    <row r="90" spans="20:67" s="5" customFormat="1" x14ac:dyDescent="0.25">
      <c r="T90" s="187"/>
      <c r="AV90" s="191"/>
      <c r="BN90" s="187"/>
      <c r="BO90" s="187"/>
    </row>
    <row r="91" spans="20:67" s="5" customFormat="1" x14ac:dyDescent="0.25">
      <c r="T91" s="187"/>
      <c r="AV91" s="191"/>
      <c r="BN91" s="187"/>
      <c r="BO91" s="187"/>
    </row>
    <row r="92" spans="20:67" s="5" customFormat="1" x14ac:dyDescent="0.25">
      <c r="T92" s="187"/>
      <c r="AV92" s="191"/>
      <c r="BN92" s="187"/>
      <c r="BO92" s="187"/>
    </row>
    <row r="93" spans="20:67" s="5" customFormat="1" x14ac:dyDescent="0.25">
      <c r="T93" s="187"/>
      <c r="AV93" s="191"/>
      <c r="BN93" s="187"/>
      <c r="BO93" s="187"/>
    </row>
    <row r="94" spans="20:67" s="5" customFormat="1" x14ac:dyDescent="0.25">
      <c r="T94" s="187"/>
      <c r="AV94" s="191"/>
      <c r="BN94" s="187"/>
      <c r="BO94" s="187"/>
    </row>
    <row r="95" spans="20:67" s="5" customFormat="1" x14ac:dyDescent="0.25">
      <c r="T95" s="187"/>
      <c r="AV95" s="191"/>
      <c r="BN95" s="187"/>
      <c r="BO95" s="187"/>
    </row>
    <row r="96" spans="20:67" s="5" customFormat="1" x14ac:dyDescent="0.25">
      <c r="T96" s="187"/>
      <c r="AV96" s="191"/>
      <c r="BN96" s="187"/>
      <c r="BO96" s="187"/>
    </row>
    <row r="97" spans="20:67" s="5" customFormat="1" x14ac:dyDescent="0.25">
      <c r="T97" s="187"/>
      <c r="AV97" s="191"/>
      <c r="BN97" s="187"/>
      <c r="BO97" s="187"/>
    </row>
    <row r="98" spans="20:67" s="5" customFormat="1" x14ac:dyDescent="0.25">
      <c r="T98" s="187"/>
      <c r="AV98" s="191"/>
      <c r="BN98" s="187"/>
      <c r="BO98" s="187"/>
    </row>
    <row r="99" spans="20:67" s="5" customFormat="1" x14ac:dyDescent="0.25">
      <c r="T99" s="187"/>
      <c r="AV99" s="191"/>
      <c r="BN99" s="187"/>
      <c r="BO99" s="187"/>
    </row>
    <row r="100" spans="20:67" s="5" customFormat="1" x14ac:dyDescent="0.25">
      <c r="T100" s="187"/>
      <c r="AV100" s="191"/>
      <c r="BN100" s="187"/>
      <c r="BO100" s="187"/>
    </row>
    <row r="101" spans="20:67" s="5" customFormat="1" x14ac:dyDescent="0.25">
      <c r="T101" s="187"/>
      <c r="AV101" s="191"/>
      <c r="BN101" s="187"/>
      <c r="BO101" s="187"/>
    </row>
    <row r="102" spans="20:67" s="5" customFormat="1" x14ac:dyDescent="0.25">
      <c r="T102" s="187"/>
      <c r="AV102" s="191"/>
      <c r="BN102" s="187"/>
      <c r="BO102" s="187"/>
    </row>
    <row r="103" spans="20:67" s="5" customFormat="1" x14ac:dyDescent="0.25">
      <c r="T103" s="187"/>
      <c r="AV103" s="191"/>
      <c r="BN103" s="187"/>
      <c r="BO103" s="187"/>
    </row>
    <row r="104" spans="20:67" s="5" customFormat="1" x14ac:dyDescent="0.25">
      <c r="T104" s="187"/>
      <c r="AV104" s="191"/>
      <c r="BN104" s="187"/>
      <c r="BO104" s="187"/>
    </row>
    <row r="105" spans="20:67" s="5" customFormat="1" x14ac:dyDescent="0.25">
      <c r="T105" s="187"/>
      <c r="AV105" s="191"/>
      <c r="BN105" s="187"/>
      <c r="BO105" s="187"/>
    </row>
    <row r="106" spans="20:67" s="5" customFormat="1" x14ac:dyDescent="0.25">
      <c r="T106" s="187"/>
      <c r="AV106" s="191"/>
      <c r="BN106" s="187"/>
      <c r="BO106" s="187"/>
    </row>
    <row r="107" spans="20:67" s="5" customFormat="1" x14ac:dyDescent="0.25">
      <c r="T107" s="187"/>
      <c r="AV107" s="191"/>
      <c r="BN107" s="187"/>
      <c r="BO107" s="187"/>
    </row>
    <row r="108" spans="20:67" s="5" customFormat="1" x14ac:dyDescent="0.25">
      <c r="T108" s="187"/>
      <c r="AV108" s="191"/>
      <c r="BN108" s="187"/>
      <c r="BO108" s="187"/>
    </row>
    <row r="109" spans="20:67" s="5" customFormat="1" x14ac:dyDescent="0.25">
      <c r="T109" s="187"/>
      <c r="AV109" s="191"/>
      <c r="BN109" s="187"/>
      <c r="BO109" s="187"/>
    </row>
    <row r="110" spans="20:67" s="5" customFormat="1" x14ac:dyDescent="0.25">
      <c r="T110" s="187"/>
      <c r="AV110" s="191"/>
      <c r="BN110" s="187"/>
      <c r="BO110" s="187"/>
    </row>
    <row r="111" spans="20:67" s="5" customFormat="1" x14ac:dyDescent="0.25">
      <c r="T111" s="187"/>
      <c r="AV111" s="191"/>
      <c r="BN111" s="187"/>
      <c r="BO111" s="187"/>
    </row>
    <row r="112" spans="20:67" s="5" customFormat="1" x14ac:dyDescent="0.25">
      <c r="T112" s="187"/>
      <c r="AV112" s="191"/>
      <c r="BN112" s="187"/>
      <c r="BO112" s="187"/>
    </row>
    <row r="113" spans="20:67" s="5" customFormat="1" x14ac:dyDescent="0.25">
      <c r="T113" s="187"/>
      <c r="AV113" s="191"/>
      <c r="BN113" s="187"/>
      <c r="BO113" s="187"/>
    </row>
    <row r="114" spans="20:67" s="5" customFormat="1" x14ac:dyDescent="0.25">
      <c r="T114" s="187"/>
      <c r="AV114" s="191"/>
      <c r="BN114" s="187"/>
      <c r="BO114" s="187"/>
    </row>
    <row r="115" spans="20:67" s="5" customFormat="1" x14ac:dyDescent="0.25">
      <c r="T115" s="187"/>
      <c r="AV115" s="191"/>
      <c r="BN115" s="187"/>
      <c r="BO115" s="187"/>
    </row>
    <row r="116" spans="20:67" s="5" customFormat="1" x14ac:dyDescent="0.25">
      <c r="T116" s="187"/>
      <c r="AV116" s="191"/>
      <c r="BN116" s="187"/>
      <c r="BO116" s="187"/>
    </row>
    <row r="117" spans="20:67" s="5" customFormat="1" x14ac:dyDescent="0.25">
      <c r="T117" s="187"/>
      <c r="AV117" s="191"/>
      <c r="BN117" s="187"/>
      <c r="BO117" s="187"/>
    </row>
    <row r="118" spans="20:67" s="5" customFormat="1" x14ac:dyDescent="0.25">
      <c r="T118" s="187"/>
      <c r="AV118" s="191"/>
      <c r="BN118" s="187"/>
      <c r="BO118" s="187"/>
    </row>
    <row r="119" spans="20:67" s="5" customFormat="1" x14ac:dyDescent="0.25">
      <c r="T119" s="187"/>
      <c r="AV119" s="191"/>
      <c r="BN119" s="187"/>
      <c r="BO119" s="187"/>
    </row>
    <row r="120" spans="20:67" s="5" customFormat="1" x14ac:dyDescent="0.25">
      <c r="T120" s="187"/>
      <c r="AV120" s="191"/>
      <c r="BN120" s="187"/>
      <c r="BO120" s="187"/>
    </row>
    <row r="121" spans="20:67" s="5" customFormat="1" x14ac:dyDescent="0.25">
      <c r="T121" s="187"/>
      <c r="AV121" s="191"/>
      <c r="BN121" s="187"/>
      <c r="BO121" s="187"/>
    </row>
    <row r="122" spans="20:67" s="5" customFormat="1" x14ac:dyDescent="0.25">
      <c r="T122" s="187"/>
      <c r="AV122" s="191"/>
      <c r="BN122" s="187"/>
      <c r="BO122" s="187"/>
    </row>
    <row r="123" spans="20:67" s="5" customFormat="1" x14ac:dyDescent="0.25">
      <c r="T123" s="187"/>
      <c r="AV123" s="191"/>
      <c r="BN123" s="187"/>
      <c r="BO123" s="187"/>
    </row>
    <row r="124" spans="20:67" s="5" customFormat="1" x14ac:dyDescent="0.25">
      <c r="T124" s="187"/>
      <c r="AV124" s="191"/>
      <c r="BN124" s="187"/>
      <c r="BO124" s="187"/>
    </row>
    <row r="125" spans="20:67" s="5" customFormat="1" x14ac:dyDescent="0.25">
      <c r="T125" s="187"/>
      <c r="AV125" s="191"/>
      <c r="BN125" s="187"/>
      <c r="BO125" s="187"/>
    </row>
    <row r="126" spans="20:67" s="5" customFormat="1" x14ac:dyDescent="0.25">
      <c r="T126" s="187"/>
      <c r="AV126" s="191"/>
      <c r="BN126" s="187"/>
      <c r="BO126" s="187"/>
    </row>
    <row r="127" spans="20:67" s="5" customFormat="1" x14ac:dyDescent="0.25">
      <c r="T127" s="187"/>
      <c r="AV127" s="191"/>
      <c r="BN127" s="187"/>
      <c r="BO127" s="187"/>
    </row>
    <row r="128" spans="20:67" s="5" customFormat="1" x14ac:dyDescent="0.25">
      <c r="T128" s="187"/>
      <c r="AV128" s="191"/>
      <c r="BN128" s="187"/>
      <c r="BO128" s="187"/>
    </row>
    <row r="129" spans="20:67" s="5" customFormat="1" x14ac:dyDescent="0.25">
      <c r="T129" s="187"/>
      <c r="AV129" s="191"/>
      <c r="BN129" s="187"/>
      <c r="BO129" s="187"/>
    </row>
    <row r="130" spans="20:67" s="5" customFormat="1" x14ac:dyDescent="0.25">
      <c r="T130" s="187"/>
      <c r="AV130" s="191"/>
      <c r="BN130" s="187"/>
      <c r="BO130" s="187"/>
    </row>
    <row r="131" spans="20:67" s="5" customFormat="1" x14ac:dyDescent="0.25">
      <c r="T131" s="187"/>
      <c r="AV131" s="191"/>
      <c r="BN131" s="187"/>
      <c r="BO131" s="187"/>
    </row>
    <row r="132" spans="20:67" s="5" customFormat="1" x14ac:dyDescent="0.25">
      <c r="T132" s="187"/>
      <c r="AV132" s="191"/>
      <c r="BN132" s="187"/>
      <c r="BO132" s="187"/>
    </row>
    <row r="133" spans="20:67" s="5" customFormat="1" x14ac:dyDescent="0.25">
      <c r="T133" s="187"/>
      <c r="AV133" s="191"/>
      <c r="BN133" s="187"/>
      <c r="BO133" s="187"/>
    </row>
    <row r="134" spans="20:67" s="5" customFormat="1" x14ac:dyDescent="0.25">
      <c r="T134" s="187"/>
      <c r="AV134" s="191"/>
      <c r="BN134" s="187"/>
      <c r="BO134" s="187"/>
    </row>
    <row r="135" spans="20:67" s="5" customFormat="1" x14ac:dyDescent="0.25">
      <c r="T135" s="187"/>
      <c r="AV135" s="191"/>
      <c r="BN135" s="187"/>
      <c r="BO135" s="187"/>
    </row>
    <row r="136" spans="20:67" s="5" customFormat="1" x14ac:dyDescent="0.25">
      <c r="T136" s="187"/>
      <c r="AV136" s="191"/>
      <c r="BN136" s="187"/>
      <c r="BO136" s="187"/>
    </row>
    <row r="137" spans="20:67" s="5" customFormat="1" x14ac:dyDescent="0.25">
      <c r="T137" s="187"/>
      <c r="AV137" s="191"/>
      <c r="BN137" s="187"/>
      <c r="BO137" s="187"/>
    </row>
    <row r="138" spans="20:67" s="5" customFormat="1" x14ac:dyDescent="0.25">
      <c r="T138" s="187"/>
      <c r="AV138" s="191"/>
      <c r="BN138" s="187"/>
      <c r="BO138" s="187"/>
    </row>
    <row r="139" spans="20:67" s="5" customFormat="1" x14ac:dyDescent="0.25">
      <c r="T139" s="187"/>
      <c r="AV139" s="191"/>
      <c r="BN139" s="187"/>
      <c r="BO139" s="187"/>
    </row>
    <row r="140" spans="20:67" s="5" customFormat="1" x14ac:dyDescent="0.25">
      <c r="T140" s="187"/>
      <c r="AV140" s="191"/>
      <c r="BN140" s="187"/>
      <c r="BO140" s="187"/>
    </row>
    <row r="141" spans="20:67" s="5" customFormat="1" x14ac:dyDescent="0.25">
      <c r="T141" s="187"/>
      <c r="AV141" s="191"/>
      <c r="BN141" s="187"/>
      <c r="BO141" s="187"/>
    </row>
    <row r="142" spans="20:67" s="5" customFormat="1" x14ac:dyDescent="0.25">
      <c r="T142" s="187"/>
      <c r="AV142" s="191"/>
      <c r="BN142" s="187"/>
      <c r="BO142" s="187"/>
    </row>
    <row r="143" spans="20:67" s="5" customFormat="1" x14ac:dyDescent="0.25">
      <c r="T143" s="187"/>
      <c r="AV143" s="191"/>
      <c r="BN143" s="187"/>
      <c r="BO143" s="187"/>
    </row>
    <row r="144" spans="20:67" s="5" customFormat="1" x14ac:dyDescent="0.25">
      <c r="T144" s="187"/>
      <c r="AV144" s="191"/>
      <c r="BN144" s="187"/>
      <c r="BO144" s="187"/>
    </row>
    <row r="145" spans="20:67" s="5" customFormat="1" x14ac:dyDescent="0.25">
      <c r="T145" s="187"/>
      <c r="AV145" s="191"/>
      <c r="BN145" s="187"/>
      <c r="BO145" s="187"/>
    </row>
    <row r="146" spans="20:67" s="5" customFormat="1" x14ac:dyDescent="0.25">
      <c r="T146" s="187"/>
      <c r="AV146" s="191"/>
      <c r="BN146" s="187"/>
      <c r="BO146" s="187"/>
    </row>
    <row r="147" spans="20:67" s="5" customFormat="1" x14ac:dyDescent="0.25">
      <c r="T147" s="187"/>
      <c r="AV147" s="191"/>
      <c r="BN147" s="187"/>
      <c r="BO147" s="187"/>
    </row>
    <row r="148" spans="20:67" s="5" customFormat="1" x14ac:dyDescent="0.25">
      <c r="T148" s="187"/>
      <c r="AV148" s="191"/>
      <c r="BN148" s="187"/>
      <c r="BO148" s="187"/>
    </row>
    <row r="149" spans="20:67" s="5" customFormat="1" x14ac:dyDescent="0.25">
      <c r="T149" s="187"/>
      <c r="AV149" s="191"/>
      <c r="BN149" s="187"/>
      <c r="BO149" s="187"/>
    </row>
    <row r="150" spans="20:67" s="5" customFormat="1" x14ac:dyDescent="0.25">
      <c r="T150" s="187"/>
      <c r="AV150" s="191"/>
      <c r="BN150" s="187"/>
      <c r="BO150" s="187"/>
    </row>
    <row r="151" spans="20:67" s="5" customFormat="1" x14ac:dyDescent="0.25">
      <c r="T151" s="187"/>
      <c r="AV151" s="191"/>
      <c r="BN151" s="187"/>
      <c r="BO151" s="187"/>
    </row>
    <row r="152" spans="20:67" s="5" customFormat="1" x14ac:dyDescent="0.25">
      <c r="T152" s="187"/>
      <c r="AV152" s="191"/>
      <c r="BN152" s="187"/>
      <c r="BO152" s="187"/>
    </row>
    <row r="153" spans="20:67" s="5" customFormat="1" x14ac:dyDescent="0.25">
      <c r="T153" s="187"/>
      <c r="AV153" s="191"/>
      <c r="BN153" s="187"/>
      <c r="BO153" s="187"/>
    </row>
    <row r="154" spans="20:67" s="5" customFormat="1" x14ac:dyDescent="0.25">
      <c r="T154" s="187"/>
      <c r="AV154" s="191"/>
      <c r="BN154" s="187"/>
      <c r="BO154" s="187"/>
    </row>
    <row r="155" spans="20:67" s="5" customFormat="1" x14ac:dyDescent="0.25">
      <c r="T155" s="187"/>
      <c r="AV155" s="191"/>
      <c r="BN155" s="187"/>
      <c r="BO155" s="187"/>
    </row>
    <row r="156" spans="20:67" s="5" customFormat="1" x14ac:dyDescent="0.25">
      <c r="T156" s="187"/>
      <c r="AV156" s="191"/>
      <c r="BN156" s="187"/>
      <c r="BO156" s="187"/>
    </row>
    <row r="157" spans="20:67" s="5" customFormat="1" x14ac:dyDescent="0.25">
      <c r="T157" s="187"/>
      <c r="AV157" s="191"/>
      <c r="BN157" s="187"/>
      <c r="BO157" s="187"/>
    </row>
    <row r="158" spans="20:67" s="5" customFormat="1" x14ac:dyDescent="0.25">
      <c r="T158" s="187"/>
      <c r="AV158" s="191"/>
      <c r="BN158" s="187"/>
      <c r="BO158" s="187"/>
    </row>
    <row r="159" spans="20:67" s="5" customFormat="1" x14ac:dyDescent="0.25">
      <c r="T159" s="187"/>
      <c r="AV159" s="191"/>
      <c r="BN159" s="187"/>
      <c r="BO159" s="187"/>
    </row>
    <row r="160" spans="20:67" s="5" customFormat="1" x14ac:dyDescent="0.25">
      <c r="T160" s="187"/>
      <c r="AV160" s="191"/>
      <c r="BN160" s="187"/>
      <c r="BO160" s="187"/>
    </row>
    <row r="161" spans="20:67" s="5" customFormat="1" x14ac:dyDescent="0.25">
      <c r="T161" s="187"/>
      <c r="AV161" s="191"/>
      <c r="BN161" s="187"/>
      <c r="BO161" s="187"/>
    </row>
    <row r="162" spans="20:67" s="5" customFormat="1" x14ac:dyDescent="0.25">
      <c r="T162" s="187"/>
      <c r="AV162" s="191"/>
      <c r="BN162" s="187"/>
      <c r="BO162" s="187"/>
    </row>
    <row r="163" spans="20:67" s="5" customFormat="1" x14ac:dyDescent="0.25">
      <c r="T163" s="187"/>
      <c r="AV163" s="191"/>
      <c r="BN163" s="187"/>
      <c r="BO163" s="187"/>
    </row>
    <row r="164" spans="20:67" s="5" customFormat="1" x14ac:dyDescent="0.25">
      <c r="T164" s="187"/>
      <c r="AV164" s="191"/>
      <c r="BN164" s="187"/>
      <c r="BO164" s="187"/>
    </row>
    <row r="165" spans="20:67" s="5" customFormat="1" x14ac:dyDescent="0.25">
      <c r="T165" s="187"/>
      <c r="AV165" s="191"/>
      <c r="BN165" s="187"/>
      <c r="BO165" s="187"/>
    </row>
    <row r="166" spans="20:67" s="5" customFormat="1" x14ac:dyDescent="0.25">
      <c r="T166" s="187"/>
      <c r="AV166" s="191"/>
      <c r="BN166" s="187"/>
      <c r="BO166" s="187"/>
    </row>
    <row r="167" spans="20:67" s="5" customFormat="1" x14ac:dyDescent="0.25">
      <c r="T167" s="187"/>
      <c r="AV167" s="191"/>
      <c r="BN167" s="187"/>
      <c r="BO167" s="187"/>
    </row>
    <row r="168" spans="20:67" s="5" customFormat="1" x14ac:dyDescent="0.25">
      <c r="T168" s="187"/>
      <c r="AV168" s="191"/>
      <c r="BN168" s="187"/>
      <c r="BO168" s="187"/>
    </row>
    <row r="169" spans="20:67" s="5" customFormat="1" x14ac:dyDescent="0.25">
      <c r="T169" s="187"/>
      <c r="AV169" s="191"/>
      <c r="BN169" s="187"/>
      <c r="BO169" s="187"/>
    </row>
    <row r="170" spans="20:67" s="5" customFormat="1" x14ac:dyDescent="0.25">
      <c r="T170" s="187"/>
      <c r="AV170" s="191"/>
      <c r="BN170" s="187"/>
      <c r="BO170" s="187"/>
    </row>
    <row r="171" spans="20:67" s="5" customFormat="1" x14ac:dyDescent="0.25">
      <c r="T171" s="187"/>
      <c r="AV171" s="191"/>
      <c r="BN171" s="187"/>
      <c r="BO171" s="187"/>
    </row>
    <row r="172" spans="20:67" s="5" customFormat="1" x14ac:dyDescent="0.25">
      <c r="T172" s="187"/>
      <c r="AV172" s="191"/>
      <c r="BN172" s="187"/>
      <c r="BO172" s="187"/>
    </row>
    <row r="173" spans="20:67" s="5" customFormat="1" x14ac:dyDescent="0.25">
      <c r="T173" s="187"/>
      <c r="AV173" s="191"/>
      <c r="BN173" s="187"/>
      <c r="BO173" s="187"/>
    </row>
    <row r="174" spans="20:67" s="5" customFormat="1" x14ac:dyDescent="0.25">
      <c r="T174" s="187"/>
      <c r="AV174" s="191"/>
      <c r="BN174" s="187"/>
      <c r="BO174" s="187"/>
    </row>
    <row r="175" spans="20:67" s="5" customFormat="1" x14ac:dyDescent="0.25">
      <c r="T175" s="187"/>
      <c r="AV175" s="191"/>
      <c r="BN175" s="187"/>
      <c r="BO175" s="187"/>
    </row>
    <row r="176" spans="20:67" s="5" customFormat="1" x14ac:dyDescent="0.25">
      <c r="T176" s="187"/>
      <c r="AV176" s="191"/>
      <c r="BN176" s="187"/>
      <c r="BO176" s="187"/>
    </row>
    <row r="177" spans="20:67" s="5" customFormat="1" x14ac:dyDescent="0.25">
      <c r="T177" s="187"/>
      <c r="AV177" s="191"/>
      <c r="BN177" s="187"/>
      <c r="BO177" s="187"/>
    </row>
    <row r="178" spans="20:67" s="5" customFormat="1" x14ac:dyDescent="0.25">
      <c r="T178" s="187"/>
      <c r="AV178" s="191"/>
      <c r="BN178" s="187"/>
      <c r="BO178" s="187"/>
    </row>
    <row r="179" spans="20:67" s="5" customFormat="1" x14ac:dyDescent="0.25">
      <c r="T179" s="187"/>
      <c r="AV179" s="191"/>
      <c r="BN179" s="187"/>
      <c r="BO179" s="187"/>
    </row>
    <row r="180" spans="20:67" s="5" customFormat="1" x14ac:dyDescent="0.25">
      <c r="T180" s="187"/>
      <c r="AV180" s="191"/>
      <c r="BN180" s="187"/>
      <c r="BO180" s="187"/>
    </row>
    <row r="181" spans="20:67" s="5" customFormat="1" x14ac:dyDescent="0.25">
      <c r="T181" s="187"/>
      <c r="AV181" s="191"/>
      <c r="BN181" s="187"/>
      <c r="BO181" s="187"/>
    </row>
    <row r="182" spans="20:67" s="5" customFormat="1" x14ac:dyDescent="0.25">
      <c r="T182" s="187"/>
      <c r="AV182" s="191"/>
      <c r="BN182" s="187"/>
      <c r="BO182" s="187"/>
    </row>
    <row r="183" spans="20:67" s="5" customFormat="1" x14ac:dyDescent="0.25">
      <c r="T183" s="187"/>
      <c r="AV183" s="191"/>
      <c r="BN183" s="187"/>
      <c r="BO183" s="187"/>
    </row>
    <row r="184" spans="20:67" s="5" customFormat="1" x14ac:dyDescent="0.25">
      <c r="T184" s="187"/>
      <c r="AV184" s="191"/>
      <c r="BN184" s="187"/>
      <c r="BO184" s="187"/>
    </row>
    <row r="185" spans="20:67" s="5" customFormat="1" x14ac:dyDescent="0.25">
      <c r="T185" s="187"/>
      <c r="AV185" s="191"/>
      <c r="BN185" s="187"/>
      <c r="BO185" s="187"/>
    </row>
    <row r="186" spans="20:67" s="5" customFormat="1" x14ac:dyDescent="0.25">
      <c r="T186" s="187"/>
      <c r="AV186" s="191"/>
      <c r="BN186" s="187"/>
      <c r="BO186" s="187"/>
    </row>
    <row r="187" spans="20:67" s="5" customFormat="1" x14ac:dyDescent="0.25">
      <c r="T187" s="187"/>
      <c r="AV187" s="191"/>
      <c r="BN187" s="187"/>
      <c r="BO187" s="187"/>
    </row>
    <row r="188" spans="20:67" s="5" customFormat="1" x14ac:dyDescent="0.25">
      <c r="T188" s="187"/>
      <c r="AV188" s="191"/>
      <c r="BN188" s="187"/>
      <c r="BO188" s="187"/>
    </row>
    <row r="189" spans="20:67" s="5" customFormat="1" x14ac:dyDescent="0.25">
      <c r="T189" s="187"/>
      <c r="AV189" s="191"/>
      <c r="BN189" s="187"/>
      <c r="BO189" s="187"/>
    </row>
    <row r="190" spans="20:67" s="5" customFormat="1" x14ac:dyDescent="0.25">
      <c r="T190" s="187"/>
      <c r="AV190" s="191"/>
      <c r="BN190" s="187"/>
      <c r="BO190" s="187"/>
    </row>
    <row r="191" spans="20:67" s="5" customFormat="1" x14ac:dyDescent="0.25">
      <c r="T191" s="187"/>
      <c r="AV191" s="191"/>
      <c r="BN191" s="187"/>
      <c r="BO191" s="187"/>
    </row>
    <row r="192" spans="20:67" s="5" customFormat="1" x14ac:dyDescent="0.25">
      <c r="T192" s="187"/>
      <c r="AV192" s="191"/>
      <c r="BN192" s="187"/>
      <c r="BO192" s="187"/>
    </row>
    <row r="193" spans="20:67" s="5" customFormat="1" x14ac:dyDescent="0.25">
      <c r="T193" s="187"/>
      <c r="AV193" s="191"/>
      <c r="BN193" s="187"/>
      <c r="BO193" s="187"/>
    </row>
    <row r="194" spans="20:67" s="5" customFormat="1" x14ac:dyDescent="0.25">
      <c r="T194" s="187"/>
      <c r="AV194" s="191"/>
      <c r="BN194" s="187"/>
      <c r="BO194" s="187"/>
    </row>
    <row r="195" spans="20:67" s="5" customFormat="1" x14ac:dyDescent="0.25">
      <c r="T195" s="187"/>
      <c r="AV195" s="191"/>
      <c r="BN195" s="187"/>
      <c r="BO195" s="187"/>
    </row>
    <row r="196" spans="20:67" s="5" customFormat="1" x14ac:dyDescent="0.25">
      <c r="T196" s="187"/>
      <c r="AV196" s="191"/>
      <c r="BN196" s="187"/>
      <c r="BO196" s="187"/>
    </row>
    <row r="197" spans="20:67" s="5" customFormat="1" x14ac:dyDescent="0.25">
      <c r="T197" s="187"/>
      <c r="AV197" s="191"/>
      <c r="BN197" s="187"/>
      <c r="BO197" s="187"/>
    </row>
    <row r="198" spans="20:67" s="5" customFormat="1" x14ac:dyDescent="0.25">
      <c r="T198" s="187"/>
      <c r="AV198" s="191"/>
      <c r="BN198" s="187"/>
      <c r="BO198" s="187"/>
    </row>
    <row r="199" spans="20:67" s="5" customFormat="1" x14ac:dyDescent="0.25">
      <c r="T199" s="187"/>
      <c r="AV199" s="191"/>
      <c r="BN199" s="187"/>
      <c r="BO199" s="187"/>
    </row>
    <row r="200" spans="20:67" s="5" customFormat="1" x14ac:dyDescent="0.25">
      <c r="T200" s="187"/>
      <c r="AV200" s="191"/>
      <c r="BN200" s="187"/>
      <c r="BO200" s="187"/>
    </row>
    <row r="201" spans="20:67" s="5" customFormat="1" x14ac:dyDescent="0.25">
      <c r="T201" s="187"/>
      <c r="AV201" s="191"/>
      <c r="BN201" s="187"/>
      <c r="BO201" s="187"/>
    </row>
    <row r="202" spans="20:67" s="5" customFormat="1" x14ac:dyDescent="0.25">
      <c r="T202" s="187"/>
      <c r="AV202" s="191"/>
      <c r="BN202" s="187"/>
      <c r="BO202" s="187"/>
    </row>
    <row r="203" spans="20:67" s="5" customFormat="1" x14ac:dyDescent="0.25">
      <c r="T203" s="187"/>
      <c r="AV203" s="191"/>
      <c r="BN203" s="187"/>
      <c r="BO203" s="187"/>
    </row>
    <row r="204" spans="20:67" s="5" customFormat="1" x14ac:dyDescent="0.25">
      <c r="T204" s="187"/>
      <c r="AV204" s="191"/>
      <c r="BN204" s="187"/>
      <c r="BO204" s="187"/>
    </row>
    <row r="205" spans="20:67" s="5" customFormat="1" x14ac:dyDescent="0.25">
      <c r="T205" s="187"/>
      <c r="AV205" s="191"/>
      <c r="BN205" s="187"/>
      <c r="BO205" s="187"/>
    </row>
    <row r="206" spans="20:67" s="5" customFormat="1" x14ac:dyDescent="0.25">
      <c r="T206" s="187"/>
      <c r="AV206" s="191"/>
      <c r="BN206" s="187"/>
      <c r="BO206" s="187"/>
    </row>
    <row r="207" spans="20:67" s="5" customFormat="1" x14ac:dyDescent="0.25">
      <c r="T207" s="187"/>
      <c r="AV207" s="191"/>
      <c r="BN207" s="187"/>
      <c r="BO207" s="187"/>
    </row>
    <row r="208" spans="20:67" s="5" customFormat="1" x14ac:dyDescent="0.25">
      <c r="T208" s="187"/>
      <c r="AV208" s="191"/>
      <c r="BN208" s="187"/>
      <c r="BO208" s="187"/>
    </row>
    <row r="209" spans="20:67" s="5" customFormat="1" x14ac:dyDescent="0.25">
      <c r="T209" s="187"/>
      <c r="AV209" s="191"/>
      <c r="BN209" s="187"/>
      <c r="BO209" s="187"/>
    </row>
    <row r="210" spans="20:67" s="5" customFormat="1" x14ac:dyDescent="0.25">
      <c r="T210" s="187"/>
      <c r="AV210" s="191"/>
      <c r="BN210" s="187"/>
      <c r="BO210" s="187"/>
    </row>
    <row r="211" spans="20:67" s="5" customFormat="1" x14ac:dyDescent="0.25">
      <c r="T211" s="187"/>
      <c r="AV211" s="191"/>
      <c r="BN211" s="187"/>
      <c r="BO211" s="187"/>
    </row>
    <row r="212" spans="20:67" s="5" customFormat="1" x14ac:dyDescent="0.25">
      <c r="T212" s="187"/>
      <c r="AV212" s="191"/>
      <c r="BN212" s="187"/>
      <c r="BO212" s="187"/>
    </row>
    <row r="213" spans="20:67" s="5" customFormat="1" x14ac:dyDescent="0.25">
      <c r="T213" s="187"/>
      <c r="AV213" s="191"/>
      <c r="BN213" s="187"/>
      <c r="BO213" s="187"/>
    </row>
    <row r="214" spans="20:67" s="5" customFormat="1" x14ac:dyDescent="0.25">
      <c r="T214" s="187"/>
      <c r="AV214" s="191"/>
      <c r="BN214" s="187"/>
      <c r="BO214" s="187"/>
    </row>
    <row r="215" spans="20:67" s="5" customFormat="1" x14ac:dyDescent="0.25">
      <c r="T215" s="187"/>
      <c r="AV215" s="191"/>
      <c r="BN215" s="187"/>
      <c r="BO215" s="187"/>
    </row>
    <row r="216" spans="20:67" s="5" customFormat="1" x14ac:dyDescent="0.25">
      <c r="T216" s="187"/>
      <c r="AV216" s="191"/>
      <c r="BN216" s="187"/>
      <c r="BO216" s="187"/>
    </row>
    <row r="217" spans="20:67" s="5" customFormat="1" x14ac:dyDescent="0.25">
      <c r="T217" s="187"/>
      <c r="AV217" s="191"/>
      <c r="BN217" s="187"/>
      <c r="BO217" s="187"/>
    </row>
    <row r="218" spans="20:67" s="5" customFormat="1" x14ac:dyDescent="0.25">
      <c r="T218" s="187"/>
      <c r="AV218" s="191"/>
      <c r="BN218" s="187"/>
      <c r="BO218" s="187"/>
    </row>
    <row r="219" spans="20:67" s="5" customFormat="1" x14ac:dyDescent="0.25">
      <c r="T219" s="187"/>
      <c r="AV219" s="191"/>
      <c r="BN219" s="187"/>
      <c r="BO219" s="187"/>
    </row>
    <row r="220" spans="20:67" s="5" customFormat="1" x14ac:dyDescent="0.25">
      <c r="T220" s="187"/>
      <c r="AV220" s="191"/>
      <c r="BN220" s="187"/>
      <c r="BO220" s="187"/>
    </row>
    <row r="221" spans="20:67" s="5" customFormat="1" x14ac:dyDescent="0.25">
      <c r="T221" s="187"/>
      <c r="AV221" s="191"/>
      <c r="BN221" s="187"/>
      <c r="BO221" s="187"/>
    </row>
    <row r="222" spans="20:67" s="5" customFormat="1" x14ac:dyDescent="0.25">
      <c r="T222" s="187"/>
      <c r="AV222" s="191"/>
      <c r="BN222" s="187"/>
      <c r="BO222" s="187"/>
    </row>
    <row r="223" spans="20:67" s="5" customFormat="1" x14ac:dyDescent="0.25">
      <c r="T223" s="187"/>
      <c r="AV223" s="191"/>
      <c r="BN223" s="187"/>
      <c r="BO223" s="187"/>
    </row>
    <row r="224" spans="20:67" s="5" customFormat="1" x14ac:dyDescent="0.25">
      <c r="T224" s="187"/>
      <c r="AV224" s="191"/>
      <c r="BN224" s="187"/>
      <c r="BO224" s="187"/>
    </row>
    <row r="225" spans="20:67" s="5" customFormat="1" x14ac:dyDescent="0.25">
      <c r="T225" s="187"/>
      <c r="AV225" s="191"/>
      <c r="BN225" s="187"/>
      <c r="BO225" s="187"/>
    </row>
    <row r="226" spans="20:67" s="5" customFormat="1" x14ac:dyDescent="0.25">
      <c r="T226" s="187"/>
      <c r="AV226" s="191"/>
      <c r="BN226" s="187"/>
      <c r="BO226" s="187"/>
    </row>
    <row r="227" spans="20:67" s="5" customFormat="1" x14ac:dyDescent="0.25">
      <c r="T227" s="187"/>
      <c r="AV227" s="191"/>
      <c r="BN227" s="187"/>
      <c r="BO227" s="187"/>
    </row>
    <row r="228" spans="20:67" s="5" customFormat="1" x14ac:dyDescent="0.25">
      <c r="T228" s="187"/>
      <c r="AV228" s="191"/>
      <c r="BN228" s="187"/>
      <c r="BO228" s="187"/>
    </row>
    <row r="229" spans="20:67" s="5" customFormat="1" x14ac:dyDescent="0.25">
      <c r="T229" s="187"/>
      <c r="AV229" s="191"/>
      <c r="BN229" s="187"/>
      <c r="BO229" s="187"/>
    </row>
    <row r="230" spans="20:67" s="5" customFormat="1" x14ac:dyDescent="0.25">
      <c r="T230" s="187"/>
      <c r="AV230" s="191"/>
      <c r="BN230" s="187"/>
      <c r="BO230" s="187"/>
    </row>
    <row r="231" spans="20:67" s="5" customFormat="1" x14ac:dyDescent="0.25">
      <c r="T231" s="187"/>
      <c r="AV231" s="191"/>
      <c r="BN231" s="187"/>
      <c r="BO231" s="187"/>
    </row>
    <row r="232" spans="20:67" s="5" customFormat="1" x14ac:dyDescent="0.25">
      <c r="T232" s="187"/>
      <c r="AV232" s="191"/>
      <c r="BN232" s="187"/>
      <c r="BO232" s="187"/>
    </row>
    <row r="233" spans="20:67" s="5" customFormat="1" x14ac:dyDescent="0.25">
      <c r="T233" s="187"/>
      <c r="AV233" s="191"/>
      <c r="BN233" s="187"/>
      <c r="BO233" s="187"/>
    </row>
    <row r="234" spans="20:67" s="5" customFormat="1" x14ac:dyDescent="0.25">
      <c r="T234" s="187"/>
      <c r="AV234" s="191"/>
      <c r="BN234" s="187"/>
      <c r="BO234" s="187"/>
    </row>
    <row r="235" spans="20:67" s="5" customFormat="1" x14ac:dyDescent="0.25">
      <c r="T235" s="187"/>
      <c r="AV235" s="191"/>
      <c r="BN235" s="187"/>
      <c r="BO235" s="187"/>
    </row>
    <row r="236" spans="20:67" s="5" customFormat="1" x14ac:dyDescent="0.25">
      <c r="T236" s="187"/>
      <c r="AV236" s="191"/>
      <c r="BN236" s="187"/>
      <c r="BO236" s="187"/>
    </row>
    <row r="237" spans="20:67" s="5" customFormat="1" x14ac:dyDescent="0.25">
      <c r="T237" s="187"/>
      <c r="AV237" s="191"/>
      <c r="BN237" s="187"/>
      <c r="BO237" s="187"/>
    </row>
    <row r="238" spans="20:67" s="5" customFormat="1" x14ac:dyDescent="0.25">
      <c r="T238" s="187"/>
      <c r="AV238" s="191"/>
      <c r="BN238" s="187"/>
      <c r="BO238" s="187"/>
    </row>
    <row r="239" spans="20:67" s="5" customFormat="1" x14ac:dyDescent="0.25">
      <c r="T239" s="187"/>
      <c r="AV239" s="191"/>
      <c r="BN239" s="187"/>
      <c r="BO239" s="187"/>
    </row>
    <row r="240" spans="20:67" s="5" customFormat="1" x14ac:dyDescent="0.25">
      <c r="T240" s="187"/>
      <c r="AV240" s="191"/>
      <c r="BN240" s="187"/>
      <c r="BO240" s="187"/>
    </row>
    <row r="241" spans="20:67" s="5" customFormat="1" x14ac:dyDescent="0.25">
      <c r="T241" s="187"/>
      <c r="AV241" s="191"/>
      <c r="BN241" s="187"/>
      <c r="BO241" s="187"/>
    </row>
    <row r="242" spans="20:67" s="5" customFormat="1" x14ac:dyDescent="0.25">
      <c r="T242" s="187"/>
      <c r="AV242" s="191"/>
      <c r="BN242" s="187"/>
      <c r="BO242" s="187"/>
    </row>
    <row r="243" spans="20:67" s="5" customFormat="1" x14ac:dyDescent="0.25">
      <c r="T243" s="187"/>
      <c r="AV243" s="191"/>
      <c r="BN243" s="187"/>
      <c r="BO243" s="187"/>
    </row>
    <row r="244" spans="20:67" s="5" customFormat="1" x14ac:dyDescent="0.25">
      <c r="T244" s="187"/>
      <c r="AV244" s="191"/>
      <c r="BN244" s="187"/>
      <c r="BO244" s="187"/>
    </row>
    <row r="245" spans="20:67" s="5" customFormat="1" x14ac:dyDescent="0.25">
      <c r="T245" s="187"/>
      <c r="AV245" s="191"/>
      <c r="BN245" s="187"/>
      <c r="BO245" s="187"/>
    </row>
    <row r="246" spans="20:67" s="5" customFormat="1" x14ac:dyDescent="0.25">
      <c r="T246" s="187"/>
      <c r="AV246" s="191"/>
      <c r="BN246" s="187"/>
      <c r="BO246" s="187"/>
    </row>
    <row r="247" spans="20:67" s="5" customFormat="1" x14ac:dyDescent="0.25">
      <c r="T247" s="187"/>
      <c r="AV247" s="191"/>
      <c r="BN247" s="187"/>
      <c r="BO247" s="187"/>
    </row>
    <row r="248" spans="20:67" s="5" customFormat="1" x14ac:dyDescent="0.25">
      <c r="T248" s="187"/>
      <c r="AV248" s="191"/>
      <c r="BN248" s="187"/>
      <c r="BO248" s="187"/>
    </row>
    <row r="249" spans="20:67" s="5" customFormat="1" x14ac:dyDescent="0.25">
      <c r="T249" s="187"/>
      <c r="AV249" s="191"/>
      <c r="BN249" s="187"/>
      <c r="BO249" s="187"/>
    </row>
    <row r="250" spans="20:67" s="5" customFormat="1" x14ac:dyDescent="0.25">
      <c r="T250" s="187"/>
      <c r="AV250" s="191"/>
      <c r="BN250" s="187"/>
      <c r="BO250" s="187"/>
    </row>
    <row r="251" spans="20:67" s="5" customFormat="1" x14ac:dyDescent="0.25">
      <c r="T251" s="187"/>
      <c r="AV251" s="191"/>
      <c r="BN251" s="187"/>
      <c r="BO251" s="187"/>
    </row>
    <row r="252" spans="20:67" s="5" customFormat="1" x14ac:dyDescent="0.25">
      <c r="T252" s="187"/>
      <c r="AV252" s="191"/>
      <c r="BN252" s="187"/>
      <c r="BO252" s="187"/>
    </row>
    <row r="253" spans="20:67" s="5" customFormat="1" x14ac:dyDescent="0.25">
      <c r="T253" s="187"/>
      <c r="AV253" s="191"/>
      <c r="BN253" s="187"/>
      <c r="BO253" s="187"/>
    </row>
    <row r="254" spans="20:67" s="5" customFormat="1" x14ac:dyDescent="0.25">
      <c r="T254" s="187"/>
      <c r="AV254" s="191"/>
      <c r="BN254" s="187"/>
      <c r="BO254" s="187"/>
    </row>
    <row r="255" spans="20:67" s="5" customFormat="1" x14ac:dyDescent="0.25">
      <c r="T255" s="187"/>
      <c r="AV255" s="191"/>
      <c r="BN255" s="187"/>
      <c r="BO255" s="187"/>
    </row>
    <row r="256" spans="20:67" s="5" customFormat="1" x14ac:dyDescent="0.25">
      <c r="T256" s="187"/>
      <c r="AV256" s="191"/>
      <c r="BN256" s="187"/>
      <c r="BO256" s="187"/>
    </row>
    <row r="257" spans="20:67" s="5" customFormat="1" x14ac:dyDescent="0.25">
      <c r="T257" s="187"/>
      <c r="AV257" s="191"/>
      <c r="BN257" s="187"/>
      <c r="BO257" s="187"/>
    </row>
    <row r="258" spans="20:67" s="5" customFormat="1" x14ac:dyDescent="0.25">
      <c r="T258" s="187"/>
      <c r="AV258" s="191"/>
      <c r="BN258" s="187"/>
      <c r="BO258" s="187"/>
    </row>
    <row r="259" spans="20:67" s="5" customFormat="1" x14ac:dyDescent="0.25">
      <c r="T259" s="187"/>
      <c r="AV259" s="191"/>
      <c r="BN259" s="187"/>
      <c r="BO259" s="187"/>
    </row>
    <row r="260" spans="20:67" s="5" customFormat="1" x14ac:dyDescent="0.25">
      <c r="T260" s="187"/>
      <c r="AV260" s="191"/>
      <c r="BN260" s="187"/>
      <c r="BO260" s="187"/>
    </row>
    <row r="261" spans="20:67" s="5" customFormat="1" x14ac:dyDescent="0.25">
      <c r="T261" s="187"/>
      <c r="AV261" s="191"/>
      <c r="BN261" s="187"/>
      <c r="BO261" s="187"/>
    </row>
    <row r="262" spans="20:67" s="5" customFormat="1" x14ac:dyDescent="0.25">
      <c r="T262" s="187"/>
      <c r="AV262" s="191"/>
      <c r="BN262" s="187"/>
      <c r="BO262" s="187"/>
    </row>
    <row r="263" spans="20:67" s="5" customFormat="1" x14ac:dyDescent="0.25">
      <c r="T263" s="187"/>
      <c r="AV263" s="191"/>
      <c r="BN263" s="187"/>
      <c r="BO263" s="187"/>
    </row>
  </sheetData>
  <mergeCells count="32">
    <mergeCell ref="X11:AS11"/>
    <mergeCell ref="AR12:AR13"/>
    <mergeCell ref="AS12:AS13"/>
    <mergeCell ref="X42:AK42"/>
    <mergeCell ref="AJ12:AK12"/>
    <mergeCell ref="Z12:AB12"/>
    <mergeCell ref="AC12:AE12"/>
    <mergeCell ref="AF12:AG12"/>
    <mergeCell ref="AH12:AI12"/>
    <mergeCell ref="X41:AK41"/>
    <mergeCell ref="AV14:BO14"/>
    <mergeCell ref="AV12:AW13"/>
    <mergeCell ref="AV11:BO11"/>
    <mergeCell ref="AV24:BG24"/>
    <mergeCell ref="AX12:AY12"/>
    <mergeCell ref="AZ12:BA12"/>
    <mergeCell ref="BB12:BC12"/>
    <mergeCell ref="BD12:BE12"/>
    <mergeCell ref="BF12:BG12"/>
    <mergeCell ref="BN12:BN13"/>
    <mergeCell ref="BO12:BO13"/>
    <mergeCell ref="N48:Q48"/>
    <mergeCell ref="S45:T45"/>
    <mergeCell ref="D8:E8"/>
    <mergeCell ref="F8:G8"/>
    <mergeCell ref="H8:I8"/>
    <mergeCell ref="N11:P11"/>
    <mergeCell ref="R11:T11"/>
    <mergeCell ref="N10:P10"/>
    <mergeCell ref="R10:T10"/>
    <mergeCell ref="N42:O42"/>
    <mergeCell ref="J8:K8"/>
  </mergeCells>
  <conditionalFormatting sqref="B10:K39">
    <cfRule type="expression" dxfId="20" priority="1">
      <formula>$A10=""</formula>
    </cfRule>
  </conditionalFormatting>
  <hyperlinks>
    <hyperlink ref="Z51" r:id="rId1" xr:uid="{F1035121-1D92-4130-96B3-062CADDA4FA1}"/>
  </hyperlinks>
  <pageMargins left="0.7" right="0.7" top="0.75" bottom="0.75" header="0.3" footer="0.3"/>
  <pageSetup orientation="portrait" horizontalDpi="90" verticalDpi="9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29D9F-FC46-4D85-90F6-7D1B96D1D401}">
  <sheetPr>
    <tabColor theme="9" tint="0.39997558519241921"/>
  </sheetPr>
  <dimension ref="A1:AZ48"/>
  <sheetViews>
    <sheetView workbookViewId="0">
      <selection activeCell="G35" sqref="G35"/>
    </sheetView>
  </sheetViews>
  <sheetFormatPr defaultColWidth="9.140625" defaultRowHeight="15" x14ac:dyDescent="0.25"/>
  <cols>
    <col min="1" max="1" width="28.85546875" style="5" customWidth="1"/>
    <col min="2" max="2" width="39.5703125" style="5" bestFit="1" customWidth="1"/>
    <col min="3" max="3" width="28" style="5" customWidth="1"/>
    <col min="4" max="6" width="9.140625" style="5"/>
    <col min="7" max="7" width="23" style="5" bestFit="1" customWidth="1"/>
    <col min="8" max="8" width="13.7109375" style="5" bestFit="1" customWidth="1"/>
    <col min="9" max="9" width="5.140625" style="5" customWidth="1"/>
    <col min="10" max="10" width="5.28515625" style="5" customWidth="1"/>
    <col min="11" max="11" width="41.7109375" style="5" customWidth="1"/>
    <col min="12" max="12" width="16.42578125" style="5" customWidth="1"/>
    <col min="13" max="13" width="15.7109375" style="269" customWidth="1"/>
    <col min="14" max="14" width="18.140625" style="269" customWidth="1"/>
    <col min="15" max="15" width="13.7109375" style="5" bestFit="1" customWidth="1"/>
    <col min="16" max="16384" width="9.140625" style="5"/>
  </cols>
  <sheetData>
    <row r="1" spans="1:52" ht="20.25" thickBot="1" x14ac:dyDescent="0.35">
      <c r="A1" s="95" t="s">
        <v>1</v>
      </c>
    </row>
    <row r="2" spans="1:52" ht="15.75" thickTop="1" x14ac:dyDescent="0.25">
      <c r="A2" s="152" t="s">
        <v>355</v>
      </c>
      <c r="B2" s="151"/>
      <c r="C2" s="151"/>
      <c r="D2" s="151"/>
      <c r="E2" s="151"/>
      <c r="F2" s="151"/>
      <c r="G2" s="151"/>
      <c r="H2" s="151"/>
      <c r="I2" s="151"/>
    </row>
    <row r="3" spans="1:52" x14ac:dyDescent="0.25">
      <c r="A3" s="38" t="s">
        <v>30</v>
      </c>
    </row>
    <row r="4" spans="1:52" x14ac:dyDescent="0.25">
      <c r="A4" s="118">
        <v>0</v>
      </c>
      <c r="B4" s="5" t="s">
        <v>356</v>
      </c>
    </row>
    <row r="5" spans="1:52" x14ac:dyDescent="0.25">
      <c r="A5" s="119">
        <v>0</v>
      </c>
      <c r="B5" s="5" t="s">
        <v>357</v>
      </c>
    </row>
    <row r="6" spans="1:52" x14ac:dyDescent="0.25">
      <c r="A6" s="29" t="s">
        <v>30</v>
      </c>
    </row>
    <row r="7" spans="1:52" ht="15.75" thickBot="1" x14ac:dyDescent="0.3">
      <c r="A7" s="96" t="s">
        <v>358</v>
      </c>
    </row>
    <row r="8" spans="1:52" x14ac:dyDescent="0.25">
      <c r="A8" s="114" t="s">
        <v>239</v>
      </c>
      <c r="B8" s="112" t="s">
        <v>359</v>
      </c>
      <c r="C8" s="107" t="s">
        <v>360</v>
      </c>
      <c r="E8" s="10" t="s">
        <v>238</v>
      </c>
      <c r="F8" s="11"/>
      <c r="G8" s="11"/>
      <c r="H8" s="11"/>
      <c r="I8" s="11"/>
      <c r="J8" s="11"/>
      <c r="K8" s="11"/>
      <c r="L8" s="11"/>
      <c r="M8" s="270"/>
      <c r="N8" s="270"/>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row>
    <row r="9" spans="1:52" x14ac:dyDescent="0.25">
      <c r="A9" s="30">
        <f>'Project Information'!B7</f>
        <v>2024</v>
      </c>
      <c r="B9" s="22">
        <f>H12</f>
        <v>1822099.2000000002</v>
      </c>
      <c r="C9" s="8">
        <f>B9/(1+$A$4)^(A9-Overview!$B$22)</f>
        <v>1822099.2000000002</v>
      </c>
      <c r="E9" s="13"/>
      <c r="F9"/>
      <c r="G9"/>
      <c r="H9"/>
      <c r="I9"/>
      <c r="J9"/>
      <c r="K9"/>
      <c r="L9"/>
      <c r="M9" s="271"/>
      <c r="N9" s="271"/>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ht="16.149999999999999" customHeight="1" x14ac:dyDescent="0.25">
      <c r="A10" s="1">
        <f>IF(A9&lt;$A$9+'Project Information'!$B$8-1,A9+1,"")</f>
        <v>2025</v>
      </c>
      <c r="B10" s="22">
        <f t="shared" ref="B10:B12" si="0">H13</f>
        <v>4555248</v>
      </c>
      <c r="C10" s="8">
        <f>IFERROR(B10/(1+$A$4)^(A10-Overview!$B$22),0)</f>
        <v>4555248</v>
      </c>
      <c r="E10" s="13"/>
      <c r="F10" s="354" t="s">
        <v>361</v>
      </c>
      <c r="G10" s="354"/>
      <c r="H10" s="354"/>
      <c r="I10" s="268"/>
      <c r="J10"/>
      <c r="K10" s="354" t="s">
        <v>362</v>
      </c>
      <c r="L10" s="354"/>
      <c r="M10" s="354"/>
      <c r="N10" s="354"/>
      <c r="O10" s="268"/>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
        <f>IF(A10&lt;$A$9+'Project Information'!$B$8-1,A10+1,"")</f>
        <v>2026</v>
      </c>
      <c r="B11" s="22">
        <f t="shared" si="0"/>
        <v>6377347.1999999993</v>
      </c>
      <c r="C11" s="8">
        <f>IFERROR(B11/(1+$A$4)^(A11-Overview!$B$22),0)</f>
        <v>6377347.1999999993</v>
      </c>
      <c r="E11" s="13"/>
      <c r="F11" s="178" t="s">
        <v>239</v>
      </c>
      <c r="G11" s="178" t="s">
        <v>363</v>
      </c>
      <c r="H11" s="178" t="s">
        <v>364</v>
      </c>
      <c r="I11"/>
      <c r="J11"/>
      <c r="K11" s="178" t="s">
        <v>365</v>
      </c>
      <c r="L11" s="178" t="s">
        <v>366</v>
      </c>
      <c r="M11" s="272" t="s">
        <v>367</v>
      </c>
      <c r="N11" s="272" t="s">
        <v>368</v>
      </c>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s="14"/>
    </row>
    <row r="12" spans="1:52" x14ac:dyDescent="0.25">
      <c r="A12" s="1">
        <f>IF(A11&lt;$A$9+'Project Information'!$B$8-1,A11+1,"")</f>
        <v>2027</v>
      </c>
      <c r="B12" s="22">
        <f t="shared" si="0"/>
        <v>5466297.5999999996</v>
      </c>
      <c r="C12" s="8">
        <f>IFERROR(B12/(1+$A$4)^(A12-Overview!$B$22),0)</f>
        <v>5466297.5999999996</v>
      </c>
      <c r="E12" s="13"/>
      <c r="F12" s="181">
        <v>2024</v>
      </c>
      <c r="G12" s="226">
        <v>0.1</v>
      </c>
      <c r="H12" s="227">
        <f>G12*$N$28</f>
        <v>1822099.2000000002</v>
      </c>
      <c r="I12"/>
      <c r="J12"/>
      <c r="K12" s="180" t="s">
        <v>369</v>
      </c>
      <c r="L12" s="181">
        <v>1</v>
      </c>
      <c r="M12" s="273">
        <v>440000</v>
      </c>
      <c r="N12" s="274" t="s">
        <v>370</v>
      </c>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s="14"/>
    </row>
    <row r="13" spans="1:52" x14ac:dyDescent="0.25">
      <c r="A13" s="1" t="str">
        <f>IF(A12&lt;$A$9+'Project Information'!$B$8-1,A12+1,"")</f>
        <v/>
      </c>
      <c r="B13" s="22">
        <v>0</v>
      </c>
      <c r="C13" s="8">
        <f>IFERROR(B13/(1+$A$4)^(A13-Overview!$B$22),0)</f>
        <v>0</v>
      </c>
      <c r="E13" s="13"/>
      <c r="F13" s="181">
        <v>2025</v>
      </c>
      <c r="G13" s="226">
        <v>0.25</v>
      </c>
      <c r="H13" s="227">
        <f>G13*$N$28</f>
        <v>4555248</v>
      </c>
      <c r="I13"/>
      <c r="J13"/>
      <c r="K13" s="180" t="s">
        <v>371</v>
      </c>
      <c r="L13" s="181">
        <v>1</v>
      </c>
      <c r="M13" s="275" t="s">
        <v>372</v>
      </c>
      <c r="N13" s="274" t="s">
        <v>373</v>
      </c>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s="14"/>
    </row>
    <row r="14" spans="1:52" x14ac:dyDescent="0.25">
      <c r="A14" s="1" t="str">
        <f>IF(A13&lt;$A$9+'Project Information'!$B$8-1,A13+1,"")</f>
        <v/>
      </c>
      <c r="B14" s="22">
        <v>0</v>
      </c>
      <c r="C14" s="8">
        <f>IFERROR(B14/(1+$A$4)^(A14-Overview!$B$22),0)</f>
        <v>0</v>
      </c>
      <c r="E14" s="13"/>
      <c r="F14" s="181">
        <v>2026</v>
      </c>
      <c r="G14" s="226">
        <v>0.35</v>
      </c>
      <c r="H14" s="227">
        <f>G14*$N$28</f>
        <v>6377347.1999999993</v>
      </c>
      <c r="I14"/>
      <c r="J14"/>
      <c r="K14" s="180" t="s">
        <v>374</v>
      </c>
      <c r="L14" s="181">
        <v>1</v>
      </c>
      <c r="M14" s="273">
        <v>1480000</v>
      </c>
      <c r="N14" s="274">
        <v>1480000</v>
      </c>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s="14"/>
    </row>
    <row r="15" spans="1:52" x14ac:dyDescent="0.25">
      <c r="A15" s="1" t="str">
        <f>IF(A14&lt;$A$9+'Project Information'!$B$8-1,A14+1,"")</f>
        <v/>
      </c>
      <c r="B15" s="22">
        <v>0</v>
      </c>
      <c r="C15" s="8">
        <f>IFERROR(B15/(1+$A$4)^(A15-Overview!$B$22),0)</f>
        <v>0</v>
      </c>
      <c r="E15" s="13"/>
      <c r="F15" s="181">
        <v>2027</v>
      </c>
      <c r="G15" s="226">
        <v>0.3</v>
      </c>
      <c r="H15" s="227">
        <f>G15*$N$28</f>
        <v>5466297.5999999996</v>
      </c>
      <c r="I15"/>
      <c r="J15"/>
      <c r="K15" s="180" t="s">
        <v>375</v>
      </c>
      <c r="L15" s="181" t="s">
        <v>376</v>
      </c>
      <c r="M15" s="273">
        <v>200</v>
      </c>
      <c r="N15" s="274">
        <v>58000</v>
      </c>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s="14"/>
    </row>
    <row r="16" spans="1:52" x14ac:dyDescent="0.25">
      <c r="A16" s="1" t="str">
        <f>IF(A15&lt;$A$9+'Project Information'!$B$8-1,A15+1,"")</f>
        <v/>
      </c>
      <c r="B16" s="22">
        <v>0</v>
      </c>
      <c r="C16" s="8">
        <f>IFERROR(B16/(1+$A$4)^(A16-Overview!$B$22),0)</f>
        <v>0</v>
      </c>
      <c r="E16" s="13"/>
      <c r="F16" s="178" t="s">
        <v>377</v>
      </c>
      <c r="G16" s="228">
        <f>SUM(G12:G15)</f>
        <v>1</v>
      </c>
      <c r="H16" s="229">
        <f>SUM(H12:H15)</f>
        <v>18220992</v>
      </c>
      <c r="I16"/>
      <c r="J16"/>
      <c r="K16" s="180" t="s">
        <v>378</v>
      </c>
      <c r="L16" s="181" t="s">
        <v>379</v>
      </c>
      <c r="M16" s="273">
        <v>3000</v>
      </c>
      <c r="N16" s="274">
        <v>1560000</v>
      </c>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s="14"/>
    </row>
    <row r="17" spans="1:51" x14ac:dyDescent="0.25">
      <c r="A17" s="1" t="str">
        <f>IF(A16&lt;$A$9+'Project Information'!$B$8-1,A16+1,"")</f>
        <v/>
      </c>
      <c r="B17" s="22">
        <v>0</v>
      </c>
      <c r="C17" s="8">
        <f>IFERROR(B17/(1+$A$4)^(A17-Overview!$B$22),0)</f>
        <v>0</v>
      </c>
      <c r="E17" s="13"/>
      <c r="F17"/>
      <c r="G17"/>
      <c r="H17"/>
      <c r="I17"/>
      <c r="J17"/>
      <c r="K17" s="180" t="s">
        <v>380</v>
      </c>
      <c r="L17" s="181" t="s">
        <v>381</v>
      </c>
      <c r="M17" s="273">
        <v>300</v>
      </c>
      <c r="N17" s="274">
        <v>212826</v>
      </c>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s="14"/>
    </row>
    <row r="18" spans="1:51" x14ac:dyDescent="0.25">
      <c r="A18" s="1" t="str">
        <f>IF(A17&lt;$A$9+'Project Information'!$B$8-1,A17+1,"")</f>
        <v/>
      </c>
      <c r="B18" s="22">
        <v>0</v>
      </c>
      <c r="C18" s="8">
        <f>IFERROR(B18/(1+$A$4)^(A18-Overview!$B$22),0)</f>
        <v>0</v>
      </c>
      <c r="E18" s="13"/>
      <c r="F18"/>
      <c r="G18"/>
      <c r="H18"/>
      <c r="I18"/>
      <c r="J18"/>
      <c r="K18" s="180" t="s">
        <v>302</v>
      </c>
      <c r="L18" s="181" t="s">
        <v>382</v>
      </c>
      <c r="M18" s="273">
        <v>1</v>
      </c>
      <c r="N18" s="274">
        <v>141809</v>
      </c>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s="14"/>
    </row>
    <row r="19" spans="1:51" x14ac:dyDescent="0.25">
      <c r="A19" s="1" t="str">
        <f>IF(A18&lt;$A$9+'Project Information'!$B$8-1,A18+1,"")</f>
        <v/>
      </c>
      <c r="B19" s="22">
        <v>0</v>
      </c>
      <c r="C19" s="8">
        <f>IFERROR(B19/(1+$A$4)^(A19-Overview!$B$22),0)</f>
        <v>0</v>
      </c>
      <c r="E19" s="13"/>
      <c r="F19"/>
      <c r="G19"/>
      <c r="H19"/>
      <c r="I19"/>
      <c r="J19"/>
      <c r="K19" s="180" t="s">
        <v>383</v>
      </c>
      <c r="L19" s="181">
        <v>28</v>
      </c>
      <c r="M19" s="273">
        <v>209207</v>
      </c>
      <c r="N19" s="274">
        <v>5857789</v>
      </c>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s="14"/>
    </row>
    <row r="20" spans="1:51" x14ac:dyDescent="0.25">
      <c r="A20" s="1" t="str">
        <f>IF(A19&lt;$A$9+'Project Information'!$B$8-1,A19+1,"")</f>
        <v/>
      </c>
      <c r="B20" s="22">
        <v>0</v>
      </c>
      <c r="C20" s="8">
        <f>IFERROR(B20/(1+$A$4)^(A20-Overview!$B$22),0)</f>
        <v>0</v>
      </c>
      <c r="E20" s="13"/>
      <c r="F20"/>
      <c r="G20"/>
      <c r="H20"/>
      <c r="I20"/>
      <c r="J20"/>
      <c r="K20" s="180" t="s">
        <v>384</v>
      </c>
      <c r="L20" s="181" t="s">
        <v>385</v>
      </c>
      <c r="M20" s="273">
        <v>2</v>
      </c>
      <c r="N20" s="274">
        <v>1021128</v>
      </c>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s="14"/>
    </row>
    <row r="21" spans="1:51" x14ac:dyDescent="0.25">
      <c r="A21" s="1" t="str">
        <f>IF(A20&lt;$A$9+'Project Information'!$B$8-1,A20+1,"")</f>
        <v/>
      </c>
      <c r="B21" s="22">
        <v>0</v>
      </c>
      <c r="C21" s="8">
        <f>IFERROR(B21/(1+$A$4)^(A21-Overview!$B$22),0)</f>
        <v>0</v>
      </c>
      <c r="E21" s="13"/>
      <c r="F21"/>
      <c r="G21"/>
      <c r="H21"/>
      <c r="I21"/>
      <c r="J21"/>
      <c r="K21" s="180" t="s">
        <v>386</v>
      </c>
      <c r="L21" s="181" t="s">
        <v>387</v>
      </c>
      <c r="M21" s="273">
        <v>1</v>
      </c>
      <c r="N21" s="274">
        <v>205851</v>
      </c>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s="14"/>
    </row>
    <row r="22" spans="1:51" x14ac:dyDescent="0.25">
      <c r="A22" s="1" t="str">
        <f>IF(A21&lt;$A$9+'Project Information'!$B$8-1,A21+1,"")</f>
        <v/>
      </c>
      <c r="B22" s="22">
        <v>0</v>
      </c>
      <c r="C22" s="8">
        <f>IFERROR(B22/(1+$A$4)^(A22-Overview!$B$22),0)</f>
        <v>0</v>
      </c>
      <c r="E22" s="13"/>
      <c r="F22"/>
      <c r="G22"/>
      <c r="H22"/>
      <c r="I22"/>
      <c r="J22"/>
      <c r="K22" s="180" t="s">
        <v>388</v>
      </c>
      <c r="L22" s="181">
        <v>1</v>
      </c>
      <c r="M22" s="273">
        <v>420000</v>
      </c>
      <c r="N22" s="274">
        <v>420000</v>
      </c>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s="14"/>
    </row>
    <row r="23" spans="1:51" x14ac:dyDescent="0.25">
      <c r="A23" s="1" t="str">
        <f>IF(A22&lt;$A$9+'Project Information'!$B$8-1,A22+1,"")</f>
        <v/>
      </c>
      <c r="B23" s="22">
        <v>0</v>
      </c>
      <c r="C23" s="8">
        <f>IFERROR(B23/(1+$A$4)^(A23-Overview!$B$22),0)</f>
        <v>0</v>
      </c>
      <c r="E23" s="13"/>
      <c r="F23"/>
      <c r="G23"/>
      <c r="H23"/>
      <c r="I23"/>
      <c r="J23"/>
      <c r="K23" s="180" t="s">
        <v>389</v>
      </c>
      <c r="L23" s="181" t="s">
        <v>390</v>
      </c>
      <c r="M23" s="273">
        <v>3</v>
      </c>
      <c r="N23" s="274">
        <v>149952</v>
      </c>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s="14"/>
    </row>
    <row r="24" spans="1:51" x14ac:dyDescent="0.25">
      <c r="A24" s="31"/>
      <c r="B24" s="32"/>
      <c r="C24" s="33"/>
      <c r="E24" s="13"/>
      <c r="F24"/>
      <c r="G24"/>
      <c r="H24"/>
      <c r="I24"/>
      <c r="J24"/>
      <c r="K24" s="180" t="s">
        <v>391</v>
      </c>
      <c r="L24" s="181">
        <v>28</v>
      </c>
      <c r="M24" s="273">
        <v>20000</v>
      </c>
      <c r="N24" s="274">
        <v>560000</v>
      </c>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s="14"/>
    </row>
    <row r="25" spans="1:51" x14ac:dyDescent="0.25">
      <c r="B25" s="28"/>
      <c r="C25" s="29"/>
      <c r="E25" s="13"/>
      <c r="F25"/>
      <c r="G25"/>
      <c r="H25"/>
      <c r="I25"/>
      <c r="J25"/>
      <c r="K25" s="180" t="s">
        <v>392</v>
      </c>
      <c r="L25" s="181" t="s">
        <v>393</v>
      </c>
      <c r="M25" s="273">
        <v>27.5</v>
      </c>
      <c r="N25" s="274">
        <v>34375</v>
      </c>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s="14"/>
    </row>
    <row r="26" spans="1:51" x14ac:dyDescent="0.25">
      <c r="B26" s="28"/>
      <c r="C26" s="29"/>
      <c r="E26" s="13"/>
      <c r="F26"/>
      <c r="G26"/>
      <c r="H26"/>
      <c r="I26"/>
      <c r="J26"/>
      <c r="K26" s="180" t="s">
        <v>394</v>
      </c>
      <c r="L26" s="181">
        <v>1</v>
      </c>
      <c r="M26" s="273">
        <v>903051</v>
      </c>
      <c r="N26" s="274">
        <v>903051</v>
      </c>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s="14"/>
    </row>
    <row r="27" spans="1:51" x14ac:dyDescent="0.25">
      <c r="B27" s="28"/>
      <c r="C27" s="29"/>
      <c r="E27" s="13"/>
      <c r="F27"/>
      <c r="G27"/>
      <c r="H27"/>
      <c r="I27"/>
      <c r="J27"/>
      <c r="K27" s="180" t="s">
        <v>395</v>
      </c>
      <c r="L27" s="181">
        <v>1</v>
      </c>
      <c r="M27" s="275" t="s">
        <v>396</v>
      </c>
      <c r="N27" s="274">
        <v>4417210</v>
      </c>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s="14"/>
    </row>
    <row r="28" spans="1:51" x14ac:dyDescent="0.25">
      <c r="B28" s="28"/>
      <c r="C28" s="29"/>
      <c r="E28" s="13"/>
      <c r="F28"/>
      <c r="G28"/>
      <c r="H28"/>
      <c r="I28"/>
      <c r="J28"/>
      <c r="K28" s="179" t="s">
        <v>397</v>
      </c>
      <c r="L28" s="42"/>
      <c r="M28" s="276"/>
      <c r="N28" s="276">
        <v>18220992</v>
      </c>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s="14"/>
    </row>
    <row r="29" spans="1:51" x14ac:dyDescent="0.25">
      <c r="B29" s="28"/>
      <c r="C29" s="29"/>
      <c r="E29" s="13"/>
      <c r="F29"/>
      <c r="G29"/>
      <c r="H29"/>
      <c r="I29"/>
      <c r="J29"/>
      <c r="K29"/>
      <c r="L29"/>
      <c r="M29" s="271"/>
      <c r="N29" s="271"/>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s="14"/>
    </row>
    <row r="30" spans="1:51" x14ac:dyDescent="0.25">
      <c r="B30" s="28"/>
      <c r="C30" s="29"/>
      <c r="E30" s="13"/>
      <c r="F30"/>
      <c r="G30"/>
      <c r="H30"/>
      <c r="I30"/>
      <c r="J30"/>
      <c r="K30"/>
      <c r="L30"/>
      <c r="M30" s="271"/>
      <c r="N30" s="27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s="14"/>
    </row>
    <row r="31" spans="1:51" x14ac:dyDescent="0.25">
      <c r="B31" s="28"/>
      <c r="C31" s="29"/>
      <c r="E31" s="13"/>
      <c r="F31"/>
      <c r="G31"/>
      <c r="H31"/>
      <c r="I31"/>
      <c r="J31"/>
      <c r="K31"/>
      <c r="L31"/>
      <c r="M31" s="271"/>
      <c r="N31" s="27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s="14"/>
    </row>
    <row r="32" spans="1:51" x14ac:dyDescent="0.25">
      <c r="B32" s="28"/>
      <c r="C32" s="29"/>
      <c r="E32" s="13"/>
      <c r="F32"/>
      <c r="G32"/>
      <c r="H32"/>
      <c r="I32"/>
      <c r="J32"/>
      <c r="K32"/>
      <c r="L32"/>
      <c r="M32" s="271"/>
      <c r="N32" s="271"/>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s="14"/>
    </row>
    <row r="33" spans="2:52" x14ac:dyDescent="0.25">
      <c r="B33" s="28"/>
      <c r="C33" s="29"/>
      <c r="E33" s="13"/>
      <c r="F33"/>
      <c r="G33"/>
      <c r="H33"/>
      <c r="I33"/>
      <c r="J33"/>
      <c r="K33"/>
      <c r="L33"/>
      <c r="M33" s="271"/>
      <c r="N33" s="271"/>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s="14"/>
    </row>
    <row r="34" spans="2:52" x14ac:dyDescent="0.25">
      <c r="B34" s="28"/>
      <c r="C34" s="29"/>
      <c r="E34" s="13"/>
      <c r="F34"/>
      <c r="G34"/>
      <c r="H34"/>
      <c r="I34"/>
      <c r="J34"/>
      <c r="K34"/>
      <c r="L34"/>
      <c r="M34" s="271"/>
      <c r="N34" s="271"/>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s="14"/>
    </row>
    <row r="35" spans="2:52" x14ac:dyDescent="0.25">
      <c r="B35" s="28"/>
      <c r="C35" s="29"/>
      <c r="E35" s="13"/>
      <c r="F35"/>
      <c r="G35"/>
      <c r="H35"/>
      <c r="I35"/>
      <c r="J35"/>
      <c r="K35"/>
      <c r="L35"/>
      <c r="M35" s="271"/>
      <c r="N35" s="271"/>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s="14"/>
    </row>
    <row r="36" spans="2:52" x14ac:dyDescent="0.25">
      <c r="B36" s="28"/>
      <c r="C36" s="29"/>
      <c r="E36" s="13"/>
      <c r="F36"/>
      <c r="G36"/>
      <c r="H36"/>
      <c r="I36"/>
      <c r="J36"/>
      <c r="K36"/>
      <c r="L36"/>
      <c r="M36" s="271"/>
      <c r="N36" s="271"/>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2:52" x14ac:dyDescent="0.25">
      <c r="B37" s="28"/>
      <c r="C37" s="29"/>
      <c r="E37" s="13"/>
      <c r="F37"/>
      <c r="G37"/>
      <c r="H37"/>
      <c r="I37"/>
      <c r="J37"/>
      <c r="K37"/>
      <c r="L37"/>
      <c r="M37" s="271"/>
      <c r="N37" s="271"/>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2:52" x14ac:dyDescent="0.25">
      <c r="B38" s="28"/>
      <c r="C38" s="29"/>
      <c r="E38" s="13"/>
      <c r="F38"/>
      <c r="G38"/>
      <c r="H38"/>
      <c r="I38"/>
      <c r="J38"/>
      <c r="K38"/>
      <c r="L38"/>
      <c r="M38" s="271"/>
      <c r="N38" s="271"/>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2:52" x14ac:dyDescent="0.25">
      <c r="B39" s="28"/>
      <c r="C39" s="29"/>
      <c r="E39" s="13"/>
      <c r="F39"/>
      <c r="G39"/>
      <c r="H39"/>
      <c r="I39"/>
      <c r="J39"/>
      <c r="K39"/>
      <c r="L39"/>
      <c r="M39" s="271"/>
      <c r="N39" s="271"/>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2:52" x14ac:dyDescent="0.25">
      <c r="B40" s="28"/>
      <c r="C40" s="29"/>
      <c r="E40" s="13"/>
      <c r="F40"/>
      <c r="G40"/>
      <c r="H40"/>
      <c r="I40"/>
      <c r="J40"/>
      <c r="K40"/>
      <c r="L40"/>
      <c r="M40" s="271"/>
      <c r="N40" s="271"/>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2:52" x14ac:dyDescent="0.25">
      <c r="B41" s="28"/>
      <c r="C41" s="29"/>
      <c r="E41" s="13"/>
      <c r="F41"/>
      <c r="G41"/>
      <c r="H41"/>
      <c r="I41"/>
      <c r="J41"/>
      <c r="K41"/>
      <c r="L41"/>
      <c r="M41" s="271"/>
      <c r="N41" s="27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2:52" x14ac:dyDescent="0.25">
      <c r="B42" s="28"/>
      <c r="C42" s="29"/>
      <c r="E42" s="13"/>
      <c r="F42"/>
      <c r="G42"/>
      <c r="H42"/>
      <c r="I42"/>
      <c r="J42"/>
      <c r="K42"/>
      <c r="L42"/>
      <c r="M42" s="271"/>
      <c r="N42" s="271"/>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2:52" x14ac:dyDescent="0.25">
      <c r="B43" s="28"/>
      <c r="C43" s="29"/>
      <c r="E43" s="13"/>
      <c r="F43"/>
      <c r="G43"/>
      <c r="H43"/>
      <c r="I43"/>
      <c r="J43"/>
      <c r="K43"/>
      <c r="L43"/>
      <c r="M43" s="271"/>
      <c r="N43" s="271"/>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2:52" x14ac:dyDescent="0.25">
      <c r="B44" s="28"/>
      <c r="C44" s="29"/>
      <c r="E44" s="13"/>
      <c r="F44"/>
      <c r="G44"/>
      <c r="H44"/>
      <c r="I44"/>
      <c r="J44"/>
      <c r="K44"/>
      <c r="L44"/>
      <c r="M44" s="271"/>
      <c r="N44" s="271"/>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2:52" x14ac:dyDescent="0.25">
      <c r="B45" s="28"/>
      <c r="C45" s="29"/>
      <c r="E45" s="13"/>
      <c r="F45"/>
      <c r="G45"/>
      <c r="H45"/>
      <c r="I45"/>
      <c r="J45"/>
      <c r="K45"/>
      <c r="L45"/>
      <c r="M45" s="271"/>
      <c r="N45" s="271"/>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2:52" x14ac:dyDescent="0.25">
      <c r="B46" s="28"/>
      <c r="C46" s="29"/>
      <c r="E46" s="13"/>
      <c r="F46"/>
      <c r="G46"/>
      <c r="H46"/>
      <c r="I46"/>
      <c r="J46"/>
      <c r="K46"/>
      <c r="L46"/>
      <c r="M46" s="271"/>
      <c r="N46" s="271"/>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2:52" x14ac:dyDescent="0.25">
      <c r="B47" s="28"/>
      <c r="C47" s="29"/>
      <c r="E47" s="13"/>
      <c r="F47"/>
      <c r="G47"/>
      <c r="H47"/>
      <c r="I47"/>
      <c r="J47"/>
      <c r="K47"/>
      <c r="L47"/>
      <c r="M47" s="271"/>
      <c r="N47" s="271"/>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2:52" ht="15.75" thickBot="1" x14ac:dyDescent="0.3">
      <c r="B48" s="28"/>
      <c r="C48" s="29"/>
      <c r="E48" s="15"/>
      <c r="F48" s="16"/>
      <c r="G48" s="16"/>
      <c r="H48" s="16"/>
      <c r="I48" s="16"/>
      <c r="J48" s="16"/>
      <c r="K48" s="16"/>
      <c r="L48" s="16"/>
      <c r="M48" s="277"/>
      <c r="N48" s="277"/>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7"/>
    </row>
  </sheetData>
  <mergeCells count="2">
    <mergeCell ref="F10:H10"/>
    <mergeCell ref="K10:N10"/>
  </mergeCells>
  <conditionalFormatting sqref="B9:B23">
    <cfRule type="expression" dxfId="19" priority="1">
      <formula>A9=""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E38E-8165-48A5-9087-43035F106B2B}">
  <sheetPr>
    <tabColor theme="9" tint="0.39997558519241921"/>
  </sheetPr>
  <dimension ref="A1:BC97"/>
  <sheetViews>
    <sheetView workbookViewId="0">
      <selection activeCell="G29" sqref="G29"/>
    </sheetView>
  </sheetViews>
  <sheetFormatPr defaultColWidth="9.140625" defaultRowHeight="15" x14ac:dyDescent="0.25"/>
  <cols>
    <col min="1" max="1" width="28.5703125" style="5" customWidth="1"/>
    <col min="2" max="2" width="42" style="5" customWidth="1"/>
    <col min="3" max="3" width="37.85546875" style="5" customWidth="1"/>
    <col min="4" max="4" width="46.5703125" style="5" customWidth="1"/>
    <col min="5" max="8" width="9.140625" style="5"/>
    <col min="9" max="9" width="22.140625" style="5" bestFit="1" customWidth="1"/>
    <col min="10" max="10" width="13.28515625" style="5" bestFit="1" customWidth="1"/>
    <col min="11" max="11" width="22.140625" style="5" bestFit="1" customWidth="1"/>
    <col min="12" max="12" width="13.28515625" style="5" bestFit="1" customWidth="1"/>
    <col min="13" max="13" width="31.5703125" style="5" bestFit="1" customWidth="1"/>
    <col min="14" max="14" width="31.5703125" style="5" customWidth="1"/>
    <col min="15" max="15" width="35.7109375" style="5" customWidth="1"/>
    <col min="16" max="16384" width="9.140625" style="5"/>
  </cols>
  <sheetData>
    <row r="1" spans="1:55" ht="20.25" thickBot="1" x14ac:dyDescent="0.35">
      <c r="A1" s="95" t="s">
        <v>398</v>
      </c>
    </row>
    <row r="2" spans="1:55" ht="15.75" thickTop="1" x14ac:dyDescent="0.25">
      <c r="A2" s="152" t="s">
        <v>399</v>
      </c>
      <c r="B2" s="151"/>
      <c r="C2" s="151"/>
      <c r="D2" s="151"/>
      <c r="E2" s="151"/>
    </row>
    <row r="3" spans="1:55" x14ac:dyDescent="0.25">
      <c r="A3" s="5" t="s">
        <v>30</v>
      </c>
    </row>
    <row r="4" spans="1:55" x14ac:dyDescent="0.25">
      <c r="A4" s="152" t="s">
        <v>400</v>
      </c>
      <c r="B4" s="152"/>
      <c r="C4" s="152"/>
      <c r="D4" s="152"/>
      <c r="E4" s="152"/>
      <c r="F4" s="152"/>
    </row>
    <row r="5" spans="1:55" x14ac:dyDescent="0.25">
      <c r="A5" s="5" t="s">
        <v>30</v>
      </c>
    </row>
    <row r="6" spans="1:55" ht="15.75" thickBot="1" x14ac:dyDescent="0.3">
      <c r="A6" s="96" t="s">
        <v>401</v>
      </c>
    </row>
    <row r="7" spans="1:55" x14ac:dyDescent="0.25">
      <c r="A7" s="106" t="s">
        <v>239</v>
      </c>
      <c r="B7" s="107" t="s">
        <v>402</v>
      </c>
      <c r="C7" s="107" t="s">
        <v>403</v>
      </c>
      <c r="D7" s="107" t="s">
        <v>404</v>
      </c>
      <c r="G7" s="10" t="s">
        <v>238</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2"/>
    </row>
    <row r="8" spans="1:55" x14ac:dyDescent="0.25">
      <c r="A8" s="6">
        <f>'Project Information'!$B$9</f>
        <v>2028</v>
      </c>
      <c r="B8" s="22">
        <f t="shared" ref="B8:B27" si="0">$J16</f>
        <v>0</v>
      </c>
      <c r="C8" s="22">
        <f>$L16</f>
        <v>2800</v>
      </c>
      <c r="D8" s="26">
        <f>C8-B8</f>
        <v>2800</v>
      </c>
      <c r="G8" s="13"/>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s="14"/>
    </row>
    <row r="9" spans="1:55" x14ac:dyDescent="0.25">
      <c r="A9" s="1">
        <f>IF(A8&lt;'Project Information'!B$11,A8+1,"")</f>
        <v>2029</v>
      </c>
      <c r="B9" s="22">
        <f t="shared" si="0"/>
        <v>0</v>
      </c>
      <c r="C9" s="22">
        <f t="shared" ref="C9:C27" si="1">$L17</f>
        <v>2800</v>
      </c>
      <c r="D9" s="8">
        <f t="shared" ref="D9:D37" si="2">C9-B9</f>
        <v>2800</v>
      </c>
      <c r="G9" s="13"/>
      <c r="H9" s="354" t="s">
        <v>239</v>
      </c>
      <c r="I9" s="354" t="s">
        <v>405</v>
      </c>
      <c r="J9" s="354"/>
      <c r="K9" s="354" t="s">
        <v>406</v>
      </c>
      <c r="L9" s="354"/>
      <c r="M9" s="372"/>
      <c r="N9" s="372"/>
      <c r="O9" s="372"/>
      <c r="P9"/>
      <c r="Q9"/>
      <c r="R9"/>
      <c r="S9"/>
      <c r="T9"/>
      <c r="U9"/>
      <c r="V9"/>
      <c r="W9"/>
      <c r="X9"/>
      <c r="Y9"/>
      <c r="Z9"/>
      <c r="AA9"/>
      <c r="AB9"/>
      <c r="AC9"/>
      <c r="AD9"/>
      <c r="AE9"/>
      <c r="AF9"/>
      <c r="AG9"/>
      <c r="AH9"/>
      <c r="AI9"/>
      <c r="AJ9"/>
      <c r="AK9"/>
      <c r="AL9"/>
      <c r="AM9"/>
      <c r="AN9"/>
      <c r="AO9"/>
      <c r="AP9"/>
      <c r="AQ9"/>
      <c r="AR9"/>
      <c r="AS9"/>
      <c r="AT9"/>
      <c r="AU9"/>
      <c r="AV9"/>
      <c r="AW9"/>
      <c r="AX9"/>
      <c r="AY9"/>
      <c r="AZ9"/>
      <c r="BA9"/>
      <c r="BB9"/>
      <c r="BC9" s="14"/>
    </row>
    <row r="10" spans="1:55" x14ac:dyDescent="0.25">
      <c r="A10" s="1">
        <f>IF(A9&lt;'Project Information'!B$11,A9+1,"")</f>
        <v>2030</v>
      </c>
      <c r="B10" s="22">
        <f t="shared" si="0"/>
        <v>0</v>
      </c>
      <c r="C10" s="22">
        <f t="shared" si="1"/>
        <v>2800</v>
      </c>
      <c r="D10" s="8">
        <f t="shared" si="2"/>
        <v>2800</v>
      </c>
      <c r="G10" s="13"/>
      <c r="H10" s="354"/>
      <c r="I10" s="354" t="s">
        <v>407</v>
      </c>
      <c r="J10" s="354" t="s">
        <v>408</v>
      </c>
      <c r="K10" s="354" t="s">
        <v>407</v>
      </c>
      <c r="L10" s="354" t="s">
        <v>408</v>
      </c>
      <c r="M10" s="372"/>
      <c r="N10" s="372"/>
      <c r="O10" s="372"/>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s="14"/>
    </row>
    <row r="11" spans="1:55" x14ac:dyDescent="0.25">
      <c r="A11" s="1">
        <f>IF(A10&lt;'Project Information'!B$11,A10+1,"")</f>
        <v>2031</v>
      </c>
      <c r="B11" s="22">
        <f t="shared" si="0"/>
        <v>0</v>
      </c>
      <c r="C11" s="22">
        <f t="shared" si="1"/>
        <v>2800</v>
      </c>
      <c r="D11" s="8">
        <f t="shared" si="2"/>
        <v>2800</v>
      </c>
      <c r="G11" s="13"/>
      <c r="H11" s="354"/>
      <c r="I11" s="354"/>
      <c r="J11" s="354"/>
      <c r="K11" s="354"/>
      <c r="L11" s="354"/>
      <c r="M11" s="372"/>
      <c r="N11" s="372"/>
      <c r="O11" s="372"/>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s="14"/>
    </row>
    <row r="12" spans="1:55" x14ac:dyDescent="0.25">
      <c r="A12" s="1">
        <f>IF(A11&lt;'Project Information'!B$11,A11+1,"")</f>
        <v>2032</v>
      </c>
      <c r="B12" s="22">
        <f t="shared" si="0"/>
        <v>0</v>
      </c>
      <c r="C12" s="22">
        <f t="shared" si="1"/>
        <v>2800</v>
      </c>
      <c r="D12" s="8">
        <f t="shared" si="2"/>
        <v>2800</v>
      </c>
      <c r="G12" s="13"/>
      <c r="H12" s="181">
        <v>2024</v>
      </c>
      <c r="I12" s="181" t="s">
        <v>409</v>
      </c>
      <c r="J12" s="227">
        <v>6500</v>
      </c>
      <c r="K12" s="181" t="s">
        <v>410</v>
      </c>
      <c r="L12" s="227">
        <v>0</v>
      </c>
      <c r="M12" s="279"/>
      <c r="N12" s="280"/>
      <c r="O12" s="279"/>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s="14"/>
    </row>
    <row r="13" spans="1:55" x14ac:dyDescent="0.25">
      <c r="A13" s="1">
        <f>IF(A12&lt;'Project Information'!B$11,A12+1,"")</f>
        <v>2033</v>
      </c>
      <c r="B13" s="22">
        <f t="shared" si="0"/>
        <v>0</v>
      </c>
      <c r="C13" s="22">
        <f t="shared" si="1"/>
        <v>2800</v>
      </c>
      <c r="D13" s="8">
        <f t="shared" si="2"/>
        <v>2800</v>
      </c>
      <c r="G13" s="13"/>
      <c r="H13" s="181">
        <v>2025</v>
      </c>
      <c r="I13" s="181" t="s">
        <v>409</v>
      </c>
      <c r="J13" s="227">
        <v>6500</v>
      </c>
      <c r="K13" s="181" t="s">
        <v>410</v>
      </c>
      <c r="L13" s="227">
        <v>0</v>
      </c>
      <c r="M13" s="279"/>
      <c r="N13" s="280"/>
      <c r="O13" s="279"/>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s="14"/>
    </row>
    <row r="14" spans="1:55" x14ac:dyDescent="0.25">
      <c r="A14" s="1">
        <f>IF(A13&lt;'Project Information'!B$11,A13+1,"")</f>
        <v>2034</v>
      </c>
      <c r="B14" s="22">
        <f t="shared" si="0"/>
        <v>0</v>
      </c>
      <c r="C14" s="22">
        <f t="shared" si="1"/>
        <v>2800</v>
      </c>
      <c r="D14" s="8">
        <f t="shared" si="2"/>
        <v>2800</v>
      </c>
      <c r="G14" s="13"/>
      <c r="H14" s="181">
        <v>2026</v>
      </c>
      <c r="I14" s="181" t="s">
        <v>409</v>
      </c>
      <c r="J14" s="227">
        <v>6500</v>
      </c>
      <c r="K14" s="181" t="s">
        <v>410</v>
      </c>
      <c r="L14" s="227">
        <v>0</v>
      </c>
      <c r="M14" s="279"/>
      <c r="N14" s="280"/>
      <c r="O14" s="279"/>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s="14"/>
    </row>
    <row r="15" spans="1:55" x14ac:dyDescent="0.25">
      <c r="A15" s="1">
        <f>IF(A14&lt;'Project Information'!B$11,A14+1,"")</f>
        <v>2035</v>
      </c>
      <c r="B15" s="22">
        <f t="shared" si="0"/>
        <v>0</v>
      </c>
      <c r="C15" s="22">
        <f t="shared" si="1"/>
        <v>2800</v>
      </c>
      <c r="D15" s="8">
        <f t="shared" si="2"/>
        <v>2800</v>
      </c>
      <c r="G15" s="13"/>
      <c r="H15" s="181">
        <v>2027</v>
      </c>
      <c r="I15" s="181" t="s">
        <v>409</v>
      </c>
      <c r="J15" s="227">
        <v>6500</v>
      </c>
      <c r="K15" s="181" t="s">
        <v>410</v>
      </c>
      <c r="L15" s="227">
        <v>0</v>
      </c>
      <c r="M15" s="279"/>
      <c r="N15" s="280"/>
      <c r="O15" s="279"/>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s="14"/>
    </row>
    <row r="16" spans="1:55" x14ac:dyDescent="0.25">
      <c r="A16" s="1">
        <f>IF(A15&lt;'Project Information'!B$11,A15+1,"")</f>
        <v>2036</v>
      </c>
      <c r="B16" s="22">
        <f t="shared" si="0"/>
        <v>0</v>
      </c>
      <c r="C16" s="22">
        <f t="shared" si="1"/>
        <v>2800</v>
      </c>
      <c r="D16" s="8">
        <f t="shared" si="2"/>
        <v>2800</v>
      </c>
      <c r="G16" s="13"/>
      <c r="H16" s="181">
        <v>2028</v>
      </c>
      <c r="I16" s="181" t="s">
        <v>411</v>
      </c>
      <c r="J16" s="227">
        <v>0</v>
      </c>
      <c r="K16" s="181" t="s">
        <v>412</v>
      </c>
      <c r="L16" s="227">
        <v>2800</v>
      </c>
      <c r="M16" s="279"/>
      <c r="N16" s="280"/>
      <c r="O16" s="279"/>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s="14"/>
    </row>
    <row r="17" spans="1:55" x14ac:dyDescent="0.25">
      <c r="A17" s="1">
        <f>IF(A16&lt;'Project Information'!B$11,A16+1,"")</f>
        <v>2037</v>
      </c>
      <c r="B17" s="22">
        <f t="shared" si="0"/>
        <v>0</v>
      </c>
      <c r="C17" s="22">
        <f t="shared" si="1"/>
        <v>2800</v>
      </c>
      <c r="D17" s="8">
        <f t="shared" si="2"/>
        <v>2800</v>
      </c>
      <c r="G17" s="13"/>
      <c r="H17" s="181">
        <v>2029</v>
      </c>
      <c r="I17" s="181" t="s">
        <v>411</v>
      </c>
      <c r="J17" s="227">
        <v>0</v>
      </c>
      <c r="K17" s="181" t="s">
        <v>412</v>
      </c>
      <c r="L17" s="227">
        <v>2800</v>
      </c>
      <c r="M17" s="279"/>
      <c r="N17" s="280"/>
      <c r="O17" s="279"/>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s="14"/>
    </row>
    <row r="18" spans="1:55" x14ac:dyDescent="0.25">
      <c r="A18" s="1">
        <f>IF(A17&lt;'Project Information'!B$11,A17+1,"")</f>
        <v>2038</v>
      </c>
      <c r="B18" s="22">
        <f t="shared" si="0"/>
        <v>0</v>
      </c>
      <c r="C18" s="22">
        <f t="shared" si="1"/>
        <v>2800</v>
      </c>
      <c r="D18" s="8">
        <f t="shared" si="2"/>
        <v>2800</v>
      </c>
      <c r="G18" s="13"/>
      <c r="H18" s="181">
        <v>2030</v>
      </c>
      <c r="I18" s="181" t="s">
        <v>411</v>
      </c>
      <c r="J18" s="227">
        <v>0</v>
      </c>
      <c r="K18" s="181" t="s">
        <v>412</v>
      </c>
      <c r="L18" s="227">
        <v>2800</v>
      </c>
      <c r="M18" s="279"/>
      <c r="N18" s="280"/>
      <c r="O18" s="279"/>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s="14"/>
    </row>
    <row r="19" spans="1:55" x14ac:dyDescent="0.25">
      <c r="A19" s="1">
        <f>IF(A18&lt;'Project Information'!B$11,A18+1,"")</f>
        <v>2039</v>
      </c>
      <c r="B19" s="22">
        <f t="shared" si="0"/>
        <v>0</v>
      </c>
      <c r="C19" s="22">
        <f t="shared" si="1"/>
        <v>2800</v>
      </c>
      <c r="D19" s="8">
        <f t="shared" si="2"/>
        <v>2800</v>
      </c>
      <c r="G19" s="13"/>
      <c r="H19" s="181">
        <v>2031</v>
      </c>
      <c r="I19" s="181" t="s">
        <v>411</v>
      </c>
      <c r="J19" s="227">
        <v>0</v>
      </c>
      <c r="K19" s="181" t="s">
        <v>412</v>
      </c>
      <c r="L19" s="227">
        <v>2800</v>
      </c>
      <c r="M19" s="279"/>
      <c r="N19" s="280"/>
      <c r="O19" s="27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s="14"/>
    </row>
    <row r="20" spans="1:55" x14ac:dyDescent="0.25">
      <c r="A20" s="1">
        <f>IF(A19&lt;'Project Information'!B$11,A19+1,"")</f>
        <v>2040</v>
      </c>
      <c r="B20" s="22">
        <f t="shared" si="0"/>
        <v>0</v>
      </c>
      <c r="C20" s="22">
        <f t="shared" si="1"/>
        <v>2800</v>
      </c>
      <c r="D20" s="8">
        <f t="shared" si="2"/>
        <v>2800</v>
      </c>
      <c r="G20" s="13"/>
      <c r="H20" s="181">
        <v>2032</v>
      </c>
      <c r="I20" s="181" t="s">
        <v>411</v>
      </c>
      <c r="J20" s="227">
        <v>0</v>
      </c>
      <c r="K20" s="181" t="s">
        <v>412</v>
      </c>
      <c r="L20" s="227">
        <v>2800</v>
      </c>
      <c r="M20" s="279"/>
      <c r="N20" s="280"/>
      <c r="O20" s="279"/>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s="14"/>
    </row>
    <row r="21" spans="1:55" x14ac:dyDescent="0.25">
      <c r="A21" s="1">
        <f>IF(A20&lt;'Project Information'!B$11,A20+1,"")</f>
        <v>2041</v>
      </c>
      <c r="B21" s="22">
        <f t="shared" si="0"/>
        <v>0</v>
      </c>
      <c r="C21" s="22">
        <f t="shared" si="1"/>
        <v>2800</v>
      </c>
      <c r="D21" s="8">
        <f t="shared" si="2"/>
        <v>2800</v>
      </c>
      <c r="G21" s="13"/>
      <c r="H21" s="181">
        <v>2033</v>
      </c>
      <c r="I21" s="181" t="s">
        <v>411</v>
      </c>
      <c r="J21" s="227">
        <v>0</v>
      </c>
      <c r="K21" s="181" t="s">
        <v>412</v>
      </c>
      <c r="L21" s="227">
        <v>2800</v>
      </c>
      <c r="M21" s="279"/>
      <c r="N21" s="280"/>
      <c r="O21" s="279"/>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s="14"/>
    </row>
    <row r="22" spans="1:55" x14ac:dyDescent="0.25">
      <c r="A22" s="1">
        <f>IF(A21&lt;'Project Information'!B$11,A21+1,"")</f>
        <v>2042</v>
      </c>
      <c r="B22" s="22">
        <f t="shared" si="0"/>
        <v>0</v>
      </c>
      <c r="C22" s="22">
        <f t="shared" si="1"/>
        <v>2800</v>
      </c>
      <c r="D22" s="8">
        <f t="shared" si="2"/>
        <v>2800</v>
      </c>
      <c r="G22" s="13"/>
      <c r="H22" s="181">
        <v>2034</v>
      </c>
      <c r="I22" s="181" t="s">
        <v>411</v>
      </c>
      <c r="J22" s="227">
        <v>0</v>
      </c>
      <c r="K22" s="181" t="s">
        <v>412</v>
      </c>
      <c r="L22" s="227">
        <v>2800</v>
      </c>
      <c r="M22" s="279"/>
      <c r="N22" s="280"/>
      <c r="O22" s="279"/>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s="14"/>
    </row>
    <row r="23" spans="1:55" x14ac:dyDescent="0.25">
      <c r="A23" s="1">
        <f>IF(A22&lt;'Project Information'!B$11,A22+1,"")</f>
        <v>2043</v>
      </c>
      <c r="B23" s="22">
        <f t="shared" si="0"/>
        <v>0</v>
      </c>
      <c r="C23" s="22">
        <f t="shared" si="1"/>
        <v>2800</v>
      </c>
      <c r="D23" s="8">
        <f t="shared" si="2"/>
        <v>2800</v>
      </c>
      <c r="G23" s="13"/>
      <c r="H23" s="181">
        <v>2035</v>
      </c>
      <c r="I23" s="181" t="s">
        <v>411</v>
      </c>
      <c r="J23" s="227">
        <v>0</v>
      </c>
      <c r="K23" s="181" t="s">
        <v>412</v>
      </c>
      <c r="L23" s="227">
        <v>2800</v>
      </c>
      <c r="M23" s="279"/>
      <c r="N23" s="280"/>
      <c r="O23" s="279"/>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s="14"/>
    </row>
    <row r="24" spans="1:55" x14ac:dyDescent="0.25">
      <c r="A24" s="1">
        <f>IF(A23&lt;'Project Information'!B$11,A23+1,"")</f>
        <v>2044</v>
      </c>
      <c r="B24" s="22">
        <f t="shared" si="0"/>
        <v>0</v>
      </c>
      <c r="C24" s="22">
        <f t="shared" si="1"/>
        <v>2800</v>
      </c>
      <c r="D24" s="8">
        <f t="shared" si="2"/>
        <v>2800</v>
      </c>
      <c r="G24" s="13"/>
      <c r="H24" s="181">
        <v>2036</v>
      </c>
      <c r="I24" s="181" t="s">
        <v>411</v>
      </c>
      <c r="J24" s="227">
        <v>0</v>
      </c>
      <c r="K24" s="181" t="s">
        <v>412</v>
      </c>
      <c r="L24" s="227">
        <v>2800</v>
      </c>
      <c r="M24" s="279"/>
      <c r="N24" s="280"/>
      <c r="O24" s="279"/>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s="14"/>
    </row>
    <row r="25" spans="1:55" x14ac:dyDescent="0.25">
      <c r="A25" s="1">
        <f>IF(A24&lt;'Project Information'!B$11,A24+1,"")</f>
        <v>2045</v>
      </c>
      <c r="B25" s="22">
        <f t="shared" si="0"/>
        <v>0</v>
      </c>
      <c r="C25" s="22">
        <f t="shared" si="1"/>
        <v>2800</v>
      </c>
      <c r="D25" s="8">
        <f t="shared" si="2"/>
        <v>2800</v>
      </c>
      <c r="G25" s="13"/>
      <c r="H25" s="181">
        <v>2037</v>
      </c>
      <c r="I25" s="181" t="s">
        <v>411</v>
      </c>
      <c r="J25" s="227">
        <v>0</v>
      </c>
      <c r="K25" s="181" t="s">
        <v>412</v>
      </c>
      <c r="L25" s="227">
        <v>2800</v>
      </c>
      <c r="M25" s="279"/>
      <c r="N25" s="280"/>
      <c r="O25" s="279"/>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s="14"/>
    </row>
    <row r="26" spans="1:55" x14ac:dyDescent="0.25">
      <c r="A26" s="1">
        <f>IF(A25&lt;'Project Information'!B$11,A25+1,"")</f>
        <v>2046</v>
      </c>
      <c r="B26" s="22">
        <f t="shared" si="0"/>
        <v>0</v>
      </c>
      <c r="C26" s="22">
        <f t="shared" si="1"/>
        <v>2800</v>
      </c>
      <c r="D26" s="8">
        <f t="shared" si="2"/>
        <v>2800</v>
      </c>
      <c r="G26" s="13"/>
      <c r="H26" s="181">
        <v>2038</v>
      </c>
      <c r="I26" s="181" t="s">
        <v>411</v>
      </c>
      <c r="J26" s="227">
        <v>0</v>
      </c>
      <c r="K26" s="181" t="s">
        <v>412</v>
      </c>
      <c r="L26" s="227">
        <v>2800</v>
      </c>
      <c r="M26" s="279"/>
      <c r="N26" s="280"/>
      <c r="O26" s="279"/>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s="14"/>
    </row>
    <row r="27" spans="1:55" x14ac:dyDescent="0.25">
      <c r="A27" s="1">
        <f>IF(A26&lt;'Project Information'!B$11,A26+1,"")</f>
        <v>2047</v>
      </c>
      <c r="B27" s="22">
        <f t="shared" si="0"/>
        <v>0</v>
      </c>
      <c r="C27" s="22">
        <f t="shared" si="1"/>
        <v>2800</v>
      </c>
      <c r="D27" s="8">
        <f t="shared" si="2"/>
        <v>2800</v>
      </c>
      <c r="G27" s="13"/>
      <c r="H27" s="181">
        <v>2039</v>
      </c>
      <c r="I27" s="181" t="s">
        <v>411</v>
      </c>
      <c r="J27" s="227">
        <v>0</v>
      </c>
      <c r="K27" s="181" t="s">
        <v>412</v>
      </c>
      <c r="L27" s="227">
        <v>2800</v>
      </c>
      <c r="M27" s="279"/>
      <c r="N27" s="280"/>
      <c r="O27" s="279"/>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s="14"/>
    </row>
    <row r="28" spans="1:55" x14ac:dyDescent="0.25">
      <c r="A28" s="1" t="str">
        <f>IF(A27&lt;'Project Information'!B$11,A27+1,"")</f>
        <v/>
      </c>
      <c r="B28" s="22">
        <v>0</v>
      </c>
      <c r="C28" s="22">
        <v>0</v>
      </c>
      <c r="D28" s="8">
        <f t="shared" si="2"/>
        <v>0</v>
      </c>
      <c r="G28" s="13"/>
      <c r="H28" s="181">
        <v>2040</v>
      </c>
      <c r="I28" s="181" t="s">
        <v>411</v>
      </c>
      <c r="J28" s="227">
        <v>0</v>
      </c>
      <c r="K28" s="181" t="s">
        <v>412</v>
      </c>
      <c r="L28" s="227">
        <v>2800</v>
      </c>
      <c r="M28" s="279"/>
      <c r="N28" s="280"/>
      <c r="O28" s="279"/>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s="14"/>
    </row>
    <row r="29" spans="1:55" x14ac:dyDescent="0.25">
      <c r="A29" s="1" t="str">
        <f>IF(A28&lt;'Project Information'!B$11,A28+1,"")</f>
        <v/>
      </c>
      <c r="B29" s="22">
        <v>0</v>
      </c>
      <c r="C29" s="22">
        <v>0</v>
      </c>
      <c r="D29" s="8">
        <f t="shared" si="2"/>
        <v>0</v>
      </c>
      <c r="G29" s="13"/>
      <c r="H29" s="181">
        <v>2041</v>
      </c>
      <c r="I29" s="181" t="s">
        <v>411</v>
      </c>
      <c r="J29" s="227">
        <v>0</v>
      </c>
      <c r="K29" s="181" t="s">
        <v>412</v>
      </c>
      <c r="L29" s="227">
        <v>2800</v>
      </c>
      <c r="M29" s="279"/>
      <c r="N29" s="280"/>
      <c r="O29" s="27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s="14"/>
    </row>
    <row r="30" spans="1:55" x14ac:dyDescent="0.25">
      <c r="A30" s="1" t="str">
        <f>IF(A29&lt;'Project Information'!B$11,A29+1,"")</f>
        <v/>
      </c>
      <c r="B30" s="22">
        <v>0</v>
      </c>
      <c r="C30" s="22">
        <v>0</v>
      </c>
      <c r="D30" s="8">
        <f t="shared" si="2"/>
        <v>0</v>
      </c>
      <c r="G30" s="13"/>
      <c r="H30" s="181">
        <v>2042</v>
      </c>
      <c r="I30" s="181" t="s">
        <v>411</v>
      </c>
      <c r="J30" s="227">
        <v>0</v>
      </c>
      <c r="K30" s="181" t="s">
        <v>412</v>
      </c>
      <c r="L30" s="227">
        <v>2800</v>
      </c>
      <c r="M30" s="279"/>
      <c r="N30" s="280"/>
      <c r="O30" s="279"/>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s="14"/>
    </row>
    <row r="31" spans="1:55" x14ac:dyDescent="0.25">
      <c r="A31" s="1" t="str">
        <f>IF(A30&lt;'Project Information'!B$11,A30+1,"")</f>
        <v/>
      </c>
      <c r="B31" s="22">
        <v>0</v>
      </c>
      <c r="C31" s="22">
        <v>0</v>
      </c>
      <c r="D31" s="8">
        <f t="shared" si="2"/>
        <v>0</v>
      </c>
      <c r="G31" s="13"/>
      <c r="H31" s="181">
        <v>2043</v>
      </c>
      <c r="I31" s="181" t="s">
        <v>411</v>
      </c>
      <c r="J31" s="227">
        <v>0</v>
      </c>
      <c r="K31" s="181" t="s">
        <v>412</v>
      </c>
      <c r="L31" s="227">
        <v>2800</v>
      </c>
      <c r="M31" s="279"/>
      <c r="N31" s="280"/>
      <c r="O31" s="279"/>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s="14"/>
    </row>
    <row r="32" spans="1:55" x14ac:dyDescent="0.25">
      <c r="A32" s="1" t="str">
        <f>IF(A31&lt;'Project Information'!B$11,A31+1,"")</f>
        <v/>
      </c>
      <c r="B32" s="22">
        <v>0</v>
      </c>
      <c r="C32" s="22">
        <v>0</v>
      </c>
      <c r="D32" s="8">
        <f t="shared" si="2"/>
        <v>0</v>
      </c>
      <c r="G32" s="13"/>
      <c r="H32" s="181">
        <v>2044</v>
      </c>
      <c r="I32" s="181" t="s">
        <v>411</v>
      </c>
      <c r="J32" s="227">
        <v>0</v>
      </c>
      <c r="K32" s="181" t="s">
        <v>412</v>
      </c>
      <c r="L32" s="227">
        <v>2800</v>
      </c>
      <c r="M32" s="279"/>
      <c r="N32" s="280"/>
      <c r="O32" s="279"/>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s="14"/>
    </row>
    <row r="33" spans="1:55" x14ac:dyDescent="0.25">
      <c r="A33" s="1" t="str">
        <f>IF(A32&lt;'Project Information'!B$11,A32+1,"")</f>
        <v/>
      </c>
      <c r="B33" s="22">
        <v>0</v>
      </c>
      <c r="C33" s="22">
        <v>0</v>
      </c>
      <c r="D33" s="8">
        <f t="shared" si="2"/>
        <v>0</v>
      </c>
      <c r="G33" s="13"/>
      <c r="H33" s="181">
        <v>2045</v>
      </c>
      <c r="I33" s="181" t="s">
        <v>411</v>
      </c>
      <c r="J33" s="227">
        <v>0</v>
      </c>
      <c r="K33" s="181" t="s">
        <v>412</v>
      </c>
      <c r="L33" s="227">
        <v>2800</v>
      </c>
      <c r="M33" s="279"/>
      <c r="N33" s="280"/>
      <c r="O33" s="279"/>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s="14"/>
    </row>
    <row r="34" spans="1:55" x14ac:dyDescent="0.25">
      <c r="A34" s="1" t="str">
        <f>IF(A33&lt;'Project Information'!B$11,A33+1,"")</f>
        <v/>
      </c>
      <c r="B34" s="22">
        <v>0</v>
      </c>
      <c r="C34" s="22">
        <v>0</v>
      </c>
      <c r="D34" s="8">
        <f t="shared" si="2"/>
        <v>0</v>
      </c>
      <c r="G34" s="13"/>
      <c r="H34" s="181">
        <v>2046</v>
      </c>
      <c r="I34" s="181" t="s">
        <v>411</v>
      </c>
      <c r="J34" s="227">
        <v>0</v>
      </c>
      <c r="K34" s="181" t="s">
        <v>412</v>
      </c>
      <c r="L34" s="227">
        <v>2800</v>
      </c>
      <c r="M34" s="279"/>
      <c r="N34" s="280"/>
      <c r="O34" s="279"/>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s="14"/>
    </row>
    <row r="35" spans="1:55" x14ac:dyDescent="0.25">
      <c r="A35" s="1" t="str">
        <f>IF(A34&lt;'Project Information'!B$11,A34+1,"")</f>
        <v/>
      </c>
      <c r="B35" s="22">
        <v>0</v>
      </c>
      <c r="C35" s="22">
        <v>0</v>
      </c>
      <c r="D35" s="8">
        <f t="shared" si="2"/>
        <v>0</v>
      </c>
      <c r="G35" s="13"/>
      <c r="H35" s="181">
        <v>2047</v>
      </c>
      <c r="I35" s="181" t="s">
        <v>411</v>
      </c>
      <c r="J35" s="227">
        <v>0</v>
      </c>
      <c r="K35" s="181" t="s">
        <v>412</v>
      </c>
      <c r="L35" s="227">
        <v>2800</v>
      </c>
      <c r="M35" s="279"/>
      <c r="N35" s="280"/>
      <c r="O35" s="279"/>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s="14"/>
    </row>
    <row r="36" spans="1:55" x14ac:dyDescent="0.25">
      <c r="A36" s="1" t="str">
        <f>IF(A35&lt;'Project Information'!B$11,A35+1,"")</f>
        <v/>
      </c>
      <c r="B36" s="22">
        <v>0</v>
      </c>
      <c r="C36" s="22">
        <v>0</v>
      </c>
      <c r="D36" s="8">
        <f t="shared" si="2"/>
        <v>0</v>
      </c>
      <c r="G36" s="13"/>
      <c r="H36" s="245"/>
      <c r="I36" s="245"/>
      <c r="J36" s="282"/>
      <c r="K36" s="245"/>
      <c r="L36" s="282"/>
      <c r="M36" s="279"/>
      <c r="N36" s="281"/>
      <c r="O36" s="279"/>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s="14"/>
    </row>
    <row r="37" spans="1:55" x14ac:dyDescent="0.25">
      <c r="A37" s="1" t="str">
        <f>IF(A36&lt;'Project Information'!B$11,A36+1,"")</f>
        <v/>
      </c>
      <c r="B37" s="22">
        <v>0</v>
      </c>
      <c r="C37" s="22">
        <v>0</v>
      </c>
      <c r="D37" s="8">
        <f t="shared" si="2"/>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s="14"/>
    </row>
    <row r="38" spans="1:55" x14ac:dyDescent="0.25">
      <c r="A38" s="31"/>
      <c r="B38" s="32"/>
      <c r="C38" s="32"/>
      <c r="D38" s="33"/>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s="14"/>
    </row>
    <row r="39" spans="1:55" x14ac:dyDescent="0.25">
      <c r="B39" s="28"/>
      <c r="C39" s="28"/>
      <c r="D39" s="29"/>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s="14"/>
    </row>
    <row r="40" spans="1:55" x14ac:dyDescent="0.25">
      <c r="B40" s="28"/>
      <c r="C40" s="28"/>
      <c r="D40" s="29"/>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s="14"/>
    </row>
    <row r="41" spans="1:55" x14ac:dyDescent="0.25">
      <c r="B41" s="28"/>
      <c r="C41" s="28"/>
      <c r="D41" s="29"/>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s="14"/>
    </row>
    <row r="42" spans="1:55" x14ac:dyDescent="0.25">
      <c r="B42" s="28"/>
      <c r="C42" s="28"/>
      <c r="D42" s="29"/>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s="14"/>
    </row>
    <row r="43" spans="1:55" x14ac:dyDescent="0.25">
      <c r="B43" s="28"/>
      <c r="C43" s="28"/>
      <c r="D43" s="29"/>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s="14"/>
    </row>
    <row r="44" spans="1:55" x14ac:dyDescent="0.25">
      <c r="B44" s="28"/>
      <c r="C44" s="28"/>
      <c r="D44" s="29"/>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s="14"/>
    </row>
    <row r="45" spans="1:55" x14ac:dyDescent="0.25">
      <c r="B45" s="28"/>
      <c r="C45" s="28"/>
      <c r="D45" s="29"/>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s="14"/>
    </row>
    <row r="46" spans="1:55" x14ac:dyDescent="0.25">
      <c r="B46" s="28"/>
      <c r="C46" s="28"/>
      <c r="D46" s="29"/>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s="14"/>
    </row>
    <row r="47" spans="1:55" x14ac:dyDescent="0.25">
      <c r="B47" s="28"/>
      <c r="C47" s="28"/>
      <c r="D47" s="29"/>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s="14"/>
    </row>
    <row r="48" spans="1:55" x14ac:dyDescent="0.25">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s="14"/>
    </row>
    <row r="49" spans="7:55" x14ac:dyDescent="0.25">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s="14"/>
    </row>
    <row r="50" spans="7:55" x14ac:dyDescent="0.25">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s="14"/>
    </row>
    <row r="51" spans="7:55" x14ac:dyDescent="0.25">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s="14"/>
    </row>
    <row r="52" spans="7:55" x14ac:dyDescent="0.25">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s="14"/>
    </row>
    <row r="53" spans="7:55" x14ac:dyDescent="0.25">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s="14"/>
    </row>
    <row r="54" spans="7:55" x14ac:dyDescent="0.25">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s="14"/>
    </row>
    <row r="55" spans="7:55" x14ac:dyDescent="0.25">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s="14"/>
    </row>
    <row r="56" spans="7:55" x14ac:dyDescent="0.25">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s="14"/>
    </row>
    <row r="57" spans="7:55" x14ac:dyDescent="0.25">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s="14"/>
    </row>
    <row r="58" spans="7:55" x14ac:dyDescent="0.25">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s="14"/>
    </row>
    <row r="59" spans="7:55" x14ac:dyDescent="0.25">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s="14"/>
    </row>
    <row r="60" spans="7:55" x14ac:dyDescent="0.25">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s="14"/>
    </row>
    <row r="61" spans="7:55" x14ac:dyDescent="0.2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s="14"/>
    </row>
    <row r="62" spans="7:55" x14ac:dyDescent="0.2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s="14"/>
    </row>
    <row r="63" spans="7:55" x14ac:dyDescent="0.2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s="14"/>
    </row>
    <row r="64" spans="7:55" x14ac:dyDescent="0.2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s="14"/>
    </row>
    <row r="65" spans="7:55" x14ac:dyDescent="0.2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s="14"/>
    </row>
    <row r="66" spans="7:55"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s="14"/>
    </row>
    <row r="67" spans="7:55"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s="14"/>
    </row>
    <row r="68" spans="7:55"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s="14"/>
    </row>
    <row r="69" spans="7:55"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s="14"/>
    </row>
    <row r="70" spans="7:55"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s="14"/>
    </row>
    <row r="71" spans="7:55"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s="14"/>
    </row>
    <row r="72" spans="7:55"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s="14"/>
    </row>
    <row r="73" spans="7:55"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s="14"/>
    </row>
    <row r="74" spans="7:55"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s="14"/>
    </row>
    <row r="75" spans="7:55"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s="14"/>
    </row>
    <row r="76" spans="7:55"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s="14"/>
    </row>
    <row r="77" spans="7:55"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s="14"/>
    </row>
    <row r="78" spans="7:55"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s="14"/>
    </row>
    <row r="79" spans="7:55"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s="14"/>
    </row>
    <row r="80" spans="7:55"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s="14"/>
    </row>
    <row r="81" spans="7:55"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s="14"/>
    </row>
    <row r="82" spans="7:55"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s="14"/>
    </row>
    <row r="83" spans="7:55"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s="14"/>
    </row>
    <row r="84" spans="7:55"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s="14"/>
    </row>
    <row r="85" spans="7:55"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s="14"/>
    </row>
    <row r="86" spans="7:55"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s="14"/>
    </row>
    <row r="87" spans="7:55"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s="14"/>
    </row>
    <row r="88" spans="7:55"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s="14"/>
    </row>
    <row r="89" spans="7:55"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s="14"/>
    </row>
    <row r="90" spans="7:55"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s="14"/>
    </row>
    <row r="91" spans="7:55"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s="14"/>
    </row>
    <row r="92" spans="7:55"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s="14"/>
    </row>
    <row r="93" spans="7:55"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s="14"/>
    </row>
    <row r="94" spans="7:55"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s="14"/>
    </row>
    <row r="95" spans="7:55"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s="14"/>
    </row>
    <row r="96" spans="7:55"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s="14"/>
    </row>
    <row r="97" spans="7:55" ht="15.75" thickBot="1" x14ac:dyDescent="0.3">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7"/>
    </row>
  </sheetData>
  <mergeCells count="10">
    <mergeCell ref="H9:H11"/>
    <mergeCell ref="I10:I11"/>
    <mergeCell ref="J10:J11"/>
    <mergeCell ref="K10:K11"/>
    <mergeCell ref="L10:L11"/>
    <mergeCell ref="M9:M11"/>
    <mergeCell ref="O9:O11"/>
    <mergeCell ref="N9:N11"/>
    <mergeCell ref="I9:J9"/>
    <mergeCell ref="K9:L9"/>
  </mergeCells>
  <conditionalFormatting sqref="B8:B37">
    <cfRule type="expression" dxfId="18" priority="2">
      <formula>A8=""</formula>
    </cfRule>
  </conditionalFormatting>
  <conditionalFormatting sqref="C8:C37">
    <cfRule type="expression" dxfId="17" priority="1">
      <formula>A8=""</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ED40-5564-4F69-B498-62F7E290D6B9}">
  <sheetPr>
    <tabColor theme="9" tint="0.39997558519241921"/>
  </sheetPr>
  <dimension ref="A1:BS111"/>
  <sheetViews>
    <sheetView topLeftCell="A15" workbookViewId="0">
      <selection activeCell="AB50" sqref="AB50"/>
    </sheetView>
  </sheetViews>
  <sheetFormatPr defaultColWidth="9.140625" defaultRowHeight="15" x14ac:dyDescent="0.25"/>
  <cols>
    <col min="1" max="1" width="38.42578125" style="5" customWidth="1"/>
    <col min="2" max="3" width="25.28515625" style="5" customWidth="1"/>
    <col min="4" max="4" width="22.7109375" style="5" customWidth="1"/>
    <col min="5" max="9" width="9.140625" style="5"/>
    <col min="10" max="10" width="15.85546875" style="5" customWidth="1"/>
    <col min="11" max="12" width="15.42578125" style="5" customWidth="1"/>
    <col min="13" max="13" width="18.42578125" style="5" bestFit="1" customWidth="1"/>
    <col min="14" max="14" width="17.140625" style="5" bestFit="1" customWidth="1"/>
    <col min="15" max="17" width="18.42578125" style="5" customWidth="1"/>
    <col min="18" max="18" width="9.140625" style="5"/>
    <col min="19" max="19" width="16.7109375" style="5" customWidth="1"/>
    <col min="20" max="20" width="38.7109375" style="5" bestFit="1" customWidth="1"/>
    <col min="21" max="21" width="8.85546875" style="5" bestFit="1" customWidth="1"/>
    <col min="22" max="22" width="7.42578125" style="5" bestFit="1" customWidth="1"/>
    <col min="23" max="23" width="8.85546875" style="5" bestFit="1" customWidth="1"/>
    <col min="24" max="24" width="7.42578125" style="5" bestFit="1" customWidth="1"/>
    <col min="25" max="25" width="8.85546875" style="5" bestFit="1" customWidth="1"/>
    <col min="26" max="26" width="7.42578125" style="5" customWidth="1"/>
    <col min="27" max="28" width="30.7109375" style="5" customWidth="1"/>
    <col min="29" max="30" width="16.7109375" style="5" bestFit="1" customWidth="1"/>
    <col min="31" max="32" width="9.140625" style="5"/>
    <col min="33" max="33" width="16.140625" style="5" customWidth="1"/>
    <col min="34" max="34" width="32.85546875" style="5" bestFit="1" customWidth="1"/>
    <col min="35" max="36" width="9.140625" style="5"/>
    <col min="37" max="38" width="15.7109375" style="5" bestFit="1" customWidth="1"/>
    <col min="39" max="40" width="9.140625" style="5"/>
    <col min="41" max="41" width="12" style="5" customWidth="1"/>
    <col min="42" max="42" width="17.5703125" style="5" bestFit="1" customWidth="1"/>
    <col min="43" max="43" width="12" style="5" bestFit="1" customWidth="1"/>
    <col min="44" max="44" width="9.140625" style="5"/>
    <col min="45" max="46" width="13.7109375" style="5" bestFit="1" customWidth="1"/>
    <col min="47" max="16384" width="9.140625" style="5"/>
  </cols>
  <sheetData>
    <row r="1" spans="1:26" ht="20.25" thickBot="1" x14ac:dyDescent="0.35">
      <c r="A1" s="95" t="s">
        <v>413</v>
      </c>
    </row>
    <row r="2" spans="1:26" ht="15.75" thickTop="1" x14ac:dyDescent="0.25">
      <c r="A2" s="151" t="s">
        <v>414</v>
      </c>
      <c r="B2" s="151"/>
      <c r="C2" s="151"/>
      <c r="D2" s="151"/>
      <c r="E2" s="151"/>
      <c r="F2" s="151"/>
      <c r="G2" s="151"/>
    </row>
    <row r="3" spans="1:26" x14ac:dyDescent="0.25">
      <c r="A3" s="5" t="s">
        <v>30</v>
      </c>
    </row>
    <row r="4" spans="1:26" x14ac:dyDescent="0.25">
      <c r="A4" s="152" t="s">
        <v>399</v>
      </c>
      <c r="B4" s="151"/>
      <c r="C4" s="151"/>
      <c r="D4" s="151"/>
      <c r="E4" s="151"/>
      <c r="F4" s="151"/>
      <c r="G4" s="151"/>
      <c r="H4" s="151"/>
      <c r="I4" s="151"/>
      <c r="J4" s="151"/>
      <c r="K4" s="151"/>
      <c r="L4" s="151"/>
      <c r="M4" s="151"/>
      <c r="N4" s="151"/>
      <c r="O4" s="151"/>
      <c r="P4" s="151"/>
      <c r="Q4" s="151"/>
      <c r="R4" s="151"/>
      <c r="S4" s="151"/>
      <c r="T4" s="151"/>
      <c r="U4" s="151"/>
      <c r="V4" s="151"/>
      <c r="W4" s="151"/>
      <c r="X4" s="151"/>
      <c r="Y4" s="151"/>
      <c r="Z4" s="151"/>
    </row>
    <row r="5" spans="1:26" x14ac:dyDescent="0.25">
      <c r="A5" s="38" t="s">
        <v>30</v>
      </c>
    </row>
    <row r="6" spans="1:26" x14ac:dyDescent="0.25">
      <c r="A6" s="96" t="s">
        <v>415</v>
      </c>
    </row>
    <row r="7" spans="1:26" x14ac:dyDescent="0.25">
      <c r="A7" s="115" t="s">
        <v>46</v>
      </c>
      <c r="B7" s="115" t="str">
        <f>'Parameter Values'!B6</f>
        <v>Monetized Value (2022 $)</v>
      </c>
    </row>
    <row r="8" spans="1:26" x14ac:dyDescent="0.25">
      <c r="A8" s="35" t="s">
        <v>48</v>
      </c>
      <c r="B8" s="40">
        <f>'Parameter Values'!B7</f>
        <v>5000</v>
      </c>
    </row>
    <row r="9" spans="1:26" x14ac:dyDescent="0.25">
      <c r="A9" s="35" t="s">
        <v>49</v>
      </c>
      <c r="B9" s="40">
        <f>'Parameter Values'!B8</f>
        <v>111700</v>
      </c>
    </row>
    <row r="10" spans="1:26" x14ac:dyDescent="0.25">
      <c r="A10" s="35" t="s">
        <v>50</v>
      </c>
      <c r="B10" s="40">
        <f>'Parameter Values'!B9</f>
        <v>233800</v>
      </c>
    </row>
    <row r="11" spans="1:26" x14ac:dyDescent="0.25">
      <c r="A11" s="35" t="s">
        <v>51</v>
      </c>
      <c r="B11" s="40">
        <f>'Parameter Values'!B10</f>
        <v>1188200</v>
      </c>
    </row>
    <row r="12" spans="1:26" x14ac:dyDescent="0.25">
      <c r="A12" s="35" t="s">
        <v>52</v>
      </c>
      <c r="B12" s="40">
        <f>'Parameter Values'!B11</f>
        <v>12500000</v>
      </c>
    </row>
    <row r="13" spans="1:26" x14ac:dyDescent="0.25">
      <c r="A13" s="35" t="s">
        <v>53</v>
      </c>
      <c r="B13" s="40">
        <f>'Parameter Values'!B12</f>
        <v>217600</v>
      </c>
    </row>
    <row r="14" spans="1:26" x14ac:dyDescent="0.25">
      <c r="A14" s="128" t="s">
        <v>30</v>
      </c>
      <c r="B14" s="129"/>
    </row>
    <row r="15" spans="1:26" x14ac:dyDescent="0.25">
      <c r="A15" s="35" t="s">
        <v>55</v>
      </c>
    </row>
    <row r="16" spans="1:26" x14ac:dyDescent="0.25">
      <c r="A16" s="35" t="s">
        <v>56</v>
      </c>
      <c r="B16" s="40">
        <f>'Parameter Values'!B15</f>
        <v>9100</v>
      </c>
    </row>
    <row r="17" spans="1:71" x14ac:dyDescent="0.25">
      <c r="A17" s="35" t="s">
        <v>57</v>
      </c>
      <c r="B17" s="40">
        <f>'Parameter Values'!B16</f>
        <v>313000</v>
      </c>
    </row>
    <row r="18" spans="1:71" x14ac:dyDescent="0.25">
      <c r="A18" s="35" t="s">
        <v>58</v>
      </c>
      <c r="B18" s="40">
        <f>'Parameter Values'!B17</f>
        <v>14022900</v>
      </c>
    </row>
    <row r="19" spans="1:71" x14ac:dyDescent="0.25">
      <c r="A19" s="5" t="s">
        <v>30</v>
      </c>
    </row>
    <row r="20" spans="1:71" ht="15.75" thickBot="1" x14ac:dyDescent="0.3">
      <c r="A20" s="96" t="s">
        <v>416</v>
      </c>
    </row>
    <row r="21" spans="1:71" ht="15.75" thickBot="1" x14ac:dyDescent="0.3">
      <c r="A21" s="106" t="s">
        <v>239</v>
      </c>
      <c r="B21" s="107" t="s">
        <v>417</v>
      </c>
      <c r="C21" s="107" t="s">
        <v>418</v>
      </c>
      <c r="D21" s="113" t="s">
        <v>419</v>
      </c>
      <c r="H21" s="10" t="s">
        <v>238</v>
      </c>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2"/>
    </row>
    <row r="22" spans="1:71" ht="15.75" thickBot="1" x14ac:dyDescent="0.3">
      <c r="A22" s="6">
        <f>'Project Information'!$B$9</f>
        <v>2028</v>
      </c>
      <c r="B22" s="22">
        <f>SUM(J24:N24)</f>
        <v>1884852.4070920027</v>
      </c>
      <c r="C22" s="22">
        <f>SUM(O24:P24)</f>
        <v>307016.14186708775</v>
      </c>
      <c r="D22" s="26">
        <f>B22-C22</f>
        <v>1577836.265224915</v>
      </c>
      <c r="H22" s="13"/>
      <c r="I22" s="286"/>
      <c r="J22" s="373" t="s">
        <v>420</v>
      </c>
      <c r="K22" s="374"/>
      <c r="L22" s="374"/>
      <c r="M22" s="374"/>
      <c r="N22" s="375"/>
      <c r="O22" s="376" t="s">
        <v>421</v>
      </c>
      <c r="P22" s="377"/>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s="14"/>
    </row>
    <row r="23" spans="1:71" x14ac:dyDescent="0.25">
      <c r="A23" s="1">
        <f>IF(A22&lt;'Project Information'!B$11,A22+1,"")</f>
        <v>2029</v>
      </c>
      <c r="B23" s="22">
        <f t="shared" ref="B23:B41" si="0">SUM(J25:N25)</f>
        <v>1903700.9311629229</v>
      </c>
      <c r="C23" s="22">
        <f t="shared" ref="C23:C41" si="1">SUM(O25:P25)</f>
        <v>310086.30328575853</v>
      </c>
      <c r="D23" s="8">
        <f t="shared" ref="D23:D51" si="2">B23-C23</f>
        <v>1593614.6278771644</v>
      </c>
      <c r="H23" s="13"/>
      <c r="I23" s="180"/>
      <c r="J23" s="287" t="s">
        <v>422</v>
      </c>
      <c r="K23" s="287" t="s">
        <v>423</v>
      </c>
      <c r="L23" s="287" t="s">
        <v>424</v>
      </c>
      <c r="M23" s="287" t="s">
        <v>425</v>
      </c>
      <c r="N23" s="287" t="s">
        <v>426</v>
      </c>
      <c r="O23" s="236" t="s">
        <v>425</v>
      </c>
      <c r="P23" s="236" t="s">
        <v>426</v>
      </c>
      <c r="Q23" s="190"/>
      <c r="R23"/>
      <c r="S23" s="354" t="s">
        <v>427</v>
      </c>
      <c r="T23" s="354"/>
      <c r="U23" s="364" t="s">
        <v>428</v>
      </c>
      <c r="V23" s="365"/>
      <c r="W23" s="364" t="s">
        <v>429</v>
      </c>
      <c r="X23" s="365"/>
      <c r="Y23" s="364" t="s">
        <v>430</v>
      </c>
      <c r="Z23" s="365"/>
      <c r="AA23" s="354" t="s">
        <v>431</v>
      </c>
      <c r="AB23" s="354"/>
      <c r="AC23" s="354" t="s">
        <v>432</v>
      </c>
      <c r="AD23" s="354"/>
      <c r="AE23"/>
      <c r="AF23"/>
      <c r="AG23" s="354" t="s">
        <v>433</v>
      </c>
      <c r="AH23" s="354"/>
      <c r="AI23" s="364" t="s">
        <v>432</v>
      </c>
      <c r="AJ23" s="368"/>
      <c r="AK23" s="368"/>
      <c r="AL23" s="365"/>
      <c r="AM23"/>
      <c r="AN23"/>
      <c r="AO23" s="245"/>
      <c r="AP23" s="245"/>
      <c r="AQ23" s="372"/>
      <c r="AR23" s="372"/>
      <c r="AS23" s="372"/>
      <c r="AT23" s="372"/>
      <c r="AU23"/>
      <c r="AV23"/>
      <c r="AW23"/>
      <c r="AX23"/>
      <c r="AY23"/>
      <c r="AZ23"/>
      <c r="BA23"/>
      <c r="BB23"/>
      <c r="BC23"/>
      <c r="BD23"/>
      <c r="BE23"/>
      <c r="BF23"/>
      <c r="BG23"/>
      <c r="BH23"/>
      <c r="BI23"/>
      <c r="BJ23"/>
      <c r="BK23"/>
      <c r="BL23"/>
      <c r="BM23"/>
      <c r="BN23"/>
      <c r="BO23"/>
      <c r="BP23"/>
      <c r="BQ23"/>
      <c r="BR23"/>
      <c r="BS23" s="14"/>
    </row>
    <row r="24" spans="1:71" x14ac:dyDescent="0.25">
      <c r="A24" s="1">
        <f>IF(A23&lt;'Project Information'!B$11,A23+1,"")</f>
        <v>2030</v>
      </c>
      <c r="B24" s="22">
        <f t="shared" si="0"/>
        <v>1922737.9404745519</v>
      </c>
      <c r="C24" s="22">
        <f t="shared" si="1"/>
        <v>313187.16631861613</v>
      </c>
      <c r="D24" s="8">
        <f t="shared" si="2"/>
        <v>1609550.7741559357</v>
      </c>
      <c r="H24" s="13"/>
      <c r="I24" s="178">
        <v>2028</v>
      </c>
      <c r="J24" s="238">
        <f>$AK$32*$B$12*'User Volumes'!G10</f>
        <v>1515428.4432809181</v>
      </c>
      <c r="K24" s="238">
        <f>$AL$32*$B$13*('User Volumes'!G10)</f>
        <v>200693.35039938948</v>
      </c>
      <c r="L24" s="247">
        <f>('User Volumes'!K10)*'Other Highway Use Externalities'!$D$13</f>
        <v>61274.963758214326</v>
      </c>
      <c r="M24" s="247">
        <f>$AC$45*$B$12*('User Volumes'!E10)</f>
        <v>101311.39462678361</v>
      </c>
      <c r="N24" s="247">
        <f>$AD$45*$B$13*('User Volumes'!E10)</f>
        <v>6144.2550266970748</v>
      </c>
      <c r="O24" s="247">
        <f>$AC$45*$B$12*'User Volumes'!D10</f>
        <v>289461.12750509608</v>
      </c>
      <c r="P24" s="247">
        <f>$AD$45*$B$13*'User Volumes'!D10</f>
        <v>17555.014361991645</v>
      </c>
      <c r="Q24" s="246"/>
      <c r="R24"/>
      <c r="S24" s="178" t="s">
        <v>239</v>
      </c>
      <c r="T24" s="178" t="s">
        <v>434</v>
      </c>
      <c r="U24" s="178" t="s">
        <v>435</v>
      </c>
      <c r="V24" s="178" t="s">
        <v>436</v>
      </c>
      <c r="W24" s="178" t="s">
        <v>435</v>
      </c>
      <c r="X24" s="178" t="s">
        <v>436</v>
      </c>
      <c r="Y24" s="178" t="s">
        <v>435</v>
      </c>
      <c r="Z24" s="178" t="s">
        <v>436</v>
      </c>
      <c r="AA24" s="178" t="s">
        <v>435</v>
      </c>
      <c r="AB24" s="178" t="s">
        <v>436</v>
      </c>
      <c r="AC24" s="178" t="s">
        <v>435</v>
      </c>
      <c r="AD24" s="178" t="s">
        <v>436</v>
      </c>
      <c r="AE24"/>
      <c r="AF24"/>
      <c r="AG24" s="178" t="s">
        <v>239</v>
      </c>
      <c r="AH24" s="178" t="s">
        <v>437</v>
      </c>
      <c r="AI24" s="178" t="s">
        <v>435</v>
      </c>
      <c r="AJ24" s="178" t="s">
        <v>436</v>
      </c>
      <c r="AK24" s="178" t="s">
        <v>435</v>
      </c>
      <c r="AL24" s="178" t="s">
        <v>436</v>
      </c>
      <c r="AM24"/>
      <c r="AN24"/>
      <c r="AO24" s="245"/>
      <c r="AP24" s="245"/>
      <c r="AQ24" s="245"/>
      <c r="AR24" s="245"/>
      <c r="AS24" s="245"/>
      <c r="AT24" s="245"/>
      <c r="AU24"/>
      <c r="AV24"/>
      <c r="AW24"/>
      <c r="AX24"/>
      <c r="AY24"/>
      <c r="AZ24"/>
      <c r="BA24"/>
      <c r="BB24"/>
      <c r="BC24"/>
      <c r="BD24"/>
      <c r="BE24"/>
      <c r="BF24"/>
      <c r="BG24"/>
      <c r="BH24"/>
      <c r="BI24"/>
      <c r="BJ24"/>
      <c r="BK24"/>
      <c r="BL24"/>
      <c r="BM24"/>
      <c r="BN24"/>
      <c r="BO24"/>
      <c r="BP24"/>
      <c r="BQ24"/>
      <c r="BR24"/>
      <c r="BS24" s="14"/>
    </row>
    <row r="25" spans="1:71" x14ac:dyDescent="0.25">
      <c r="A25" s="1">
        <f>IF(A24&lt;'Project Information'!B$11,A24+1,"")</f>
        <v>2031</v>
      </c>
      <c r="B25" s="22">
        <f t="shared" si="0"/>
        <v>1941965.3198792974</v>
      </c>
      <c r="C25" s="22">
        <f t="shared" si="1"/>
        <v>316319.03798180225</v>
      </c>
      <c r="D25" s="8">
        <f t="shared" si="2"/>
        <v>1625646.281897495</v>
      </c>
      <c r="H25" s="13"/>
      <c r="I25" s="178">
        <v>2029</v>
      </c>
      <c r="J25" s="238">
        <f>$AK$32*$B$12*'User Volumes'!G11</f>
        <v>1530582.7277137274</v>
      </c>
      <c r="K25" s="238">
        <f>$AL$32*$B$13*('User Volumes'!G11)</f>
        <v>202700.28390338339</v>
      </c>
      <c r="L25" s="247">
        <f>('User Volumes'!K11)*'Other Highway Use Externalities'!$D$13</f>
        <v>61887.713395796469</v>
      </c>
      <c r="M25" s="247">
        <f>$AC$45*$B$12*('User Volumes'!E11)</f>
        <v>102324.50857305144</v>
      </c>
      <c r="N25" s="247">
        <f>$AD$45*$B$13*('User Volumes'!E11)</f>
        <v>6205.6975769640458</v>
      </c>
      <c r="O25" s="247">
        <f>$AC$45*$B$12*'User Volumes'!D11</f>
        <v>292355.73878014699</v>
      </c>
      <c r="P25" s="247">
        <f>$AD$45*$B$13*'User Volumes'!D11</f>
        <v>17730.564505611561</v>
      </c>
      <c r="Q25" s="246"/>
      <c r="R25"/>
      <c r="S25" s="181">
        <v>2002</v>
      </c>
      <c r="T25" s="183">
        <v>293626000000</v>
      </c>
      <c r="U25" s="231">
        <v>0</v>
      </c>
      <c r="V25" s="231">
        <v>0</v>
      </c>
      <c r="W25" s="231">
        <v>0</v>
      </c>
      <c r="X25" s="231">
        <v>0</v>
      </c>
      <c r="Y25" s="231">
        <v>8</v>
      </c>
      <c r="Z25" s="231">
        <v>17</v>
      </c>
      <c r="AA25" s="202">
        <f>U25+W25+Y25</f>
        <v>8</v>
      </c>
      <c r="AB25" s="202">
        <f>V25+X25+Z25</f>
        <v>17</v>
      </c>
      <c r="AC25" s="181"/>
      <c r="AD25" s="181"/>
      <c r="AE25"/>
      <c r="AF25"/>
      <c r="AG25" s="181">
        <v>2017</v>
      </c>
      <c r="AH25" s="183">
        <v>1674784000000</v>
      </c>
      <c r="AI25" s="183">
        <v>640</v>
      </c>
      <c r="AJ25" s="183">
        <v>6366</v>
      </c>
      <c r="AK25" s="181"/>
      <c r="AL25" s="181"/>
      <c r="AM25"/>
      <c r="AN25"/>
      <c r="AO25" s="186"/>
      <c r="AP25" s="188"/>
      <c r="AQ25" s="188"/>
      <c r="AR25" s="188"/>
      <c r="AS25" s="186"/>
      <c r="AT25" s="186"/>
      <c r="AU25"/>
      <c r="AV25"/>
      <c r="AW25"/>
      <c r="AX25"/>
      <c r="AY25"/>
      <c r="AZ25"/>
      <c r="BA25"/>
      <c r="BB25"/>
      <c r="BC25"/>
      <c r="BD25"/>
      <c r="BE25"/>
      <c r="BF25"/>
      <c r="BG25"/>
      <c r="BH25"/>
      <c r="BI25"/>
      <c r="BJ25"/>
      <c r="BK25"/>
      <c r="BL25"/>
      <c r="BM25"/>
      <c r="BN25"/>
      <c r="BO25"/>
      <c r="BP25"/>
      <c r="BQ25"/>
      <c r="BR25"/>
      <c r="BS25" s="14"/>
    </row>
    <row r="26" spans="1:71" x14ac:dyDescent="0.25">
      <c r="A26" s="1">
        <f>IF(A25&lt;'Project Information'!B$11,A25+1,"")</f>
        <v>2032</v>
      </c>
      <c r="B26" s="22">
        <f t="shared" si="0"/>
        <v>1961384.9730780907</v>
      </c>
      <c r="C26" s="22">
        <f t="shared" si="1"/>
        <v>319482.22836162033</v>
      </c>
      <c r="D26" s="8">
        <f t="shared" si="2"/>
        <v>1641902.7447164704</v>
      </c>
      <c r="H26" s="13"/>
      <c r="I26" s="178">
        <v>2030</v>
      </c>
      <c r="J26" s="238">
        <f>$AK$32*$B$12*'User Volumes'!G12</f>
        <v>1545888.5549908646</v>
      </c>
      <c r="K26" s="238">
        <f>$AL$32*$B$13*('User Volumes'!G12)</f>
        <v>204727.28674241723</v>
      </c>
      <c r="L26" s="247">
        <f>('User Volumes'!K12)*'Other Highway Use Externalities'!$D$13</f>
        <v>62506.590529754423</v>
      </c>
      <c r="M26" s="247">
        <f>$AC$45*$B$12*('User Volumes'!E12)</f>
        <v>103347.75365878195</v>
      </c>
      <c r="N26" s="247">
        <f>$AD$45*$B$13*('User Volumes'!E12)</f>
        <v>6267.7545527336852</v>
      </c>
      <c r="O26" s="247">
        <f>$AC$45*$B$12*'User Volumes'!D12</f>
        <v>295279.29616794846</v>
      </c>
      <c r="P26" s="247">
        <f>$AD$45*$B$13*'User Volumes'!D12</f>
        <v>17907.870150667673</v>
      </c>
      <c r="Q26" s="246"/>
      <c r="R26"/>
      <c r="S26" s="181">
        <v>2003</v>
      </c>
      <c r="T26" s="183">
        <v>278360000000</v>
      </c>
      <c r="U26" s="231">
        <v>0</v>
      </c>
      <c r="V26" s="231">
        <v>0</v>
      </c>
      <c r="W26" s="231">
        <v>2</v>
      </c>
      <c r="X26" s="231">
        <v>2</v>
      </c>
      <c r="Y26" s="231">
        <v>0</v>
      </c>
      <c r="Z26" s="231">
        <v>12</v>
      </c>
      <c r="AA26" s="202">
        <f t="shared" ref="AA26:AA29" si="3">U26+W26+Y26</f>
        <v>2</v>
      </c>
      <c r="AB26" s="202">
        <f t="shared" ref="AB26:AB29" si="4">V26+X26+Z26</f>
        <v>14</v>
      </c>
      <c r="AC26" s="181"/>
      <c r="AD26" s="181"/>
      <c r="AE26"/>
      <c r="AF26"/>
      <c r="AG26" s="181">
        <v>2018</v>
      </c>
      <c r="AH26" s="183">
        <v>1729638000000</v>
      </c>
      <c r="AI26" s="183">
        <v>672</v>
      </c>
      <c r="AJ26" s="183">
        <v>6115</v>
      </c>
      <c r="AK26" s="181"/>
      <c r="AL26" s="181"/>
      <c r="AM26"/>
      <c r="AN26"/>
      <c r="AO26" s="186"/>
      <c r="AP26" s="188"/>
      <c r="AQ26" s="188"/>
      <c r="AR26" s="188"/>
      <c r="AS26" s="186"/>
      <c r="AT26" s="186"/>
      <c r="AU26"/>
      <c r="AV26"/>
      <c r="AW26"/>
      <c r="AX26"/>
      <c r="AY26"/>
      <c r="AZ26"/>
      <c r="BA26"/>
      <c r="BB26"/>
      <c r="BC26"/>
      <c r="BD26"/>
      <c r="BE26"/>
      <c r="BF26"/>
      <c r="BG26"/>
      <c r="BH26"/>
      <c r="BI26"/>
      <c r="BJ26"/>
      <c r="BK26"/>
      <c r="BL26"/>
      <c r="BM26"/>
      <c r="BN26"/>
      <c r="BO26"/>
      <c r="BP26"/>
      <c r="BQ26"/>
      <c r="BR26"/>
      <c r="BS26" s="14"/>
    </row>
    <row r="27" spans="1:71" x14ac:dyDescent="0.25">
      <c r="A27" s="1">
        <f>IF(A26&lt;'Project Information'!B$11,A26+1,"")</f>
        <v>2033</v>
      </c>
      <c r="B27" s="22">
        <f t="shared" si="0"/>
        <v>1980998.8228088715</v>
      </c>
      <c r="C27" s="22">
        <f t="shared" si="1"/>
        <v>322677.05064523651</v>
      </c>
      <c r="D27" s="8">
        <f t="shared" si="2"/>
        <v>1658321.7721636351</v>
      </c>
      <c r="H27" s="13"/>
      <c r="I27" s="178">
        <v>2031</v>
      </c>
      <c r="J27" s="238">
        <f>$AK$32*$B$12*'User Volumes'!G13</f>
        <v>1561347.4405407733</v>
      </c>
      <c r="K27" s="238">
        <f>$AL$32*$B$13*('User Volumes'!G13)</f>
        <v>206774.55960984138</v>
      </c>
      <c r="L27" s="247">
        <f>('User Volumes'!K13)*'Other Highway Use Externalities'!$D$13</f>
        <v>63131.656435051977</v>
      </c>
      <c r="M27" s="247">
        <f>$AC$45*$B$12*('User Volumes'!E13)</f>
        <v>104381.23119536976</v>
      </c>
      <c r="N27" s="247">
        <f>$AD$45*$B$13*('User Volumes'!E13)</f>
        <v>6330.4320982610216</v>
      </c>
      <c r="O27" s="247">
        <f>$AC$45*$B$12*'User Volumes'!D13</f>
        <v>298232.08912962792</v>
      </c>
      <c r="P27" s="247">
        <f>$AD$45*$B$13*'User Volumes'!D13</f>
        <v>18086.948852174351</v>
      </c>
      <c r="Q27" s="246"/>
      <c r="R27"/>
      <c r="S27" s="181">
        <v>2004</v>
      </c>
      <c r="T27" s="183">
        <v>284162000000</v>
      </c>
      <c r="U27" s="231">
        <v>1</v>
      </c>
      <c r="V27" s="231">
        <v>4</v>
      </c>
      <c r="W27" s="231">
        <v>0</v>
      </c>
      <c r="X27" s="231">
        <v>3</v>
      </c>
      <c r="Y27" s="231">
        <v>1</v>
      </c>
      <c r="Z27" s="231">
        <v>27</v>
      </c>
      <c r="AA27" s="202">
        <f t="shared" si="3"/>
        <v>2</v>
      </c>
      <c r="AB27" s="202">
        <f t="shared" si="4"/>
        <v>34</v>
      </c>
      <c r="AC27" s="181"/>
      <c r="AD27" s="181"/>
      <c r="AE27"/>
      <c r="AF27"/>
      <c r="AG27" s="181">
        <v>2019</v>
      </c>
      <c r="AH27" s="183">
        <v>1614498000000</v>
      </c>
      <c r="AI27" s="183">
        <v>731</v>
      </c>
      <c r="AJ27" s="183">
        <v>6089</v>
      </c>
      <c r="AK27" s="181"/>
      <c r="AL27" s="181"/>
      <c r="AM27"/>
      <c r="AN27"/>
      <c r="AO27" s="186"/>
      <c r="AP27" s="188"/>
      <c r="AQ27" s="188"/>
      <c r="AR27" s="188"/>
      <c r="AS27" s="186"/>
      <c r="AT27" s="186"/>
      <c r="AU27"/>
      <c r="AV27"/>
      <c r="AW27"/>
      <c r="AX27"/>
      <c r="AY27"/>
      <c r="AZ27"/>
      <c r="BA27"/>
      <c r="BB27"/>
      <c r="BC27"/>
      <c r="BD27"/>
      <c r="BE27"/>
      <c r="BF27"/>
      <c r="BG27"/>
      <c r="BH27"/>
      <c r="BI27"/>
      <c r="BJ27"/>
      <c r="BK27"/>
      <c r="BL27"/>
      <c r="BM27"/>
      <c r="BN27"/>
      <c r="BO27"/>
      <c r="BP27"/>
      <c r="BQ27"/>
      <c r="BR27"/>
      <c r="BS27" s="14"/>
    </row>
    <row r="28" spans="1:71" x14ac:dyDescent="0.25">
      <c r="A28" s="1">
        <f>IF(A27&lt;'Project Information'!B$11,A27+1,"")</f>
        <v>2034</v>
      </c>
      <c r="B28" s="22">
        <f t="shared" si="0"/>
        <v>2000808.8110369595</v>
      </c>
      <c r="C28" s="22">
        <f t="shared" si="1"/>
        <v>325903.82115168893</v>
      </c>
      <c r="D28" s="8">
        <f t="shared" si="2"/>
        <v>1674904.9898852706</v>
      </c>
      <c r="H28" s="13"/>
      <c r="I28" s="178">
        <v>2032</v>
      </c>
      <c r="J28" s="238">
        <f>$AK$32*$B$12*'User Volumes'!G14</f>
        <v>1576960.914946181</v>
      </c>
      <c r="K28" s="238">
        <f>$AL$32*$B$13*('User Volumes'!G14)</f>
        <v>208842.3052059398</v>
      </c>
      <c r="L28" s="247">
        <f>('User Volumes'!K14)*'Other Highway Use Externalities'!$D$13</f>
        <v>63762.972999402482</v>
      </c>
      <c r="M28" s="247">
        <f>$AC$45*$B$12*('User Volumes'!E14)</f>
        <v>105425.04350732348</v>
      </c>
      <c r="N28" s="247">
        <f>$AD$45*$B$13*('User Volumes'!E14)</f>
        <v>6393.7364192436335</v>
      </c>
      <c r="O28" s="247">
        <f>$AC$45*$B$12*'User Volumes'!D14</f>
        <v>301214.41002092423</v>
      </c>
      <c r="P28" s="247">
        <f>$AD$45*$B$13*'User Volumes'!D14</f>
        <v>18267.818340696096</v>
      </c>
      <c r="Q28" s="246"/>
      <c r="R28"/>
      <c r="S28" s="181">
        <v>2005</v>
      </c>
      <c r="T28" s="183">
        <v>274366000000</v>
      </c>
      <c r="U28" s="231">
        <v>1</v>
      </c>
      <c r="V28" s="231">
        <v>0</v>
      </c>
      <c r="W28" s="231">
        <v>0</v>
      </c>
      <c r="X28" s="231">
        <v>1</v>
      </c>
      <c r="Y28" s="231">
        <v>10</v>
      </c>
      <c r="Z28" s="231">
        <v>20</v>
      </c>
      <c r="AA28" s="202">
        <f t="shared" si="3"/>
        <v>11</v>
      </c>
      <c r="AB28" s="202">
        <f t="shared" si="4"/>
        <v>21</v>
      </c>
      <c r="AC28" s="181"/>
      <c r="AD28" s="181"/>
      <c r="AE28"/>
      <c r="AF28"/>
      <c r="AG28" s="181">
        <v>2020</v>
      </c>
      <c r="AH28" s="183">
        <v>1439814000000</v>
      </c>
      <c r="AI28" s="183">
        <v>634</v>
      </c>
      <c r="AJ28" s="183">
        <v>4643</v>
      </c>
      <c r="AK28" s="181"/>
      <c r="AL28" s="181"/>
      <c r="AM28"/>
      <c r="AN28"/>
      <c r="AO28" s="186"/>
      <c r="AP28" s="188"/>
      <c r="AQ28" s="188"/>
      <c r="AR28" s="188"/>
      <c r="AS28" s="186"/>
      <c r="AT28" s="186"/>
      <c r="AU28"/>
      <c r="AV28"/>
      <c r="AW28"/>
      <c r="AX28"/>
      <c r="AY28"/>
      <c r="AZ28"/>
      <c r="BA28"/>
      <c r="BB28"/>
      <c r="BC28"/>
      <c r="BD28"/>
      <c r="BE28"/>
      <c r="BF28"/>
      <c r="BG28"/>
      <c r="BH28"/>
      <c r="BI28"/>
      <c r="BJ28"/>
      <c r="BK28"/>
      <c r="BL28"/>
      <c r="BM28"/>
      <c r="BN28"/>
      <c r="BO28"/>
      <c r="BP28"/>
      <c r="BQ28"/>
      <c r="BR28"/>
      <c r="BS28" s="14"/>
    </row>
    <row r="29" spans="1:71" x14ac:dyDescent="0.25">
      <c r="A29" s="1">
        <f>IF(A28&lt;'Project Information'!B$11,A28+1,"")</f>
        <v>2035</v>
      </c>
      <c r="B29" s="22">
        <f t="shared" si="0"/>
        <v>2020816.8991473296</v>
      </c>
      <c r="C29" s="22">
        <f t="shared" si="1"/>
        <v>329162.85936320573</v>
      </c>
      <c r="D29" s="8">
        <f t="shared" si="2"/>
        <v>1691654.0397841239</v>
      </c>
      <c r="H29" s="13"/>
      <c r="I29" s="178">
        <v>2033</v>
      </c>
      <c r="J29" s="238">
        <f>$AK$32*$B$12*'User Volumes'!G15</f>
        <v>1592730.5240956428</v>
      </c>
      <c r="K29" s="238">
        <f>$AL$32*$B$13*('User Volumes'!G15)</f>
        <v>210930.7282579992</v>
      </c>
      <c r="L29" s="247">
        <f>('User Volumes'!K15)*'Other Highway Use Externalities'!$D$13</f>
        <v>64400.602729396509</v>
      </c>
      <c r="M29" s="247">
        <f>$AC$45*$B$12*('User Volumes'!E15)</f>
        <v>106479.2939423967</v>
      </c>
      <c r="N29" s="247">
        <f>$AD$45*$B$13*('User Volumes'!E15)</f>
        <v>6457.6737834360692</v>
      </c>
      <c r="O29" s="247">
        <f>$AC$45*$B$12*'User Volumes'!D15</f>
        <v>304226.55412113346</v>
      </c>
      <c r="P29" s="247">
        <f>$AD$45*$B$13*'User Volumes'!D15</f>
        <v>18450.496524103055</v>
      </c>
      <c r="Q29" s="246"/>
      <c r="R29"/>
      <c r="S29" s="181">
        <v>2006</v>
      </c>
      <c r="T29" s="183">
        <v>279858000000</v>
      </c>
      <c r="U29" s="231">
        <v>2</v>
      </c>
      <c r="V29" s="231">
        <v>0</v>
      </c>
      <c r="W29" s="231">
        <v>0</v>
      </c>
      <c r="X29" s="231">
        <v>0</v>
      </c>
      <c r="Y29" s="231">
        <v>6</v>
      </c>
      <c r="Z29" s="231">
        <v>22</v>
      </c>
      <c r="AA29" s="202">
        <f t="shared" si="3"/>
        <v>8</v>
      </c>
      <c r="AB29" s="202">
        <f t="shared" si="4"/>
        <v>22</v>
      </c>
      <c r="AC29" s="181"/>
      <c r="AD29" s="181"/>
      <c r="AE29"/>
      <c r="AF29"/>
      <c r="AG29" s="181">
        <v>2021</v>
      </c>
      <c r="AH29" s="284">
        <v>1533869000000</v>
      </c>
      <c r="AI29" s="185">
        <v>733</v>
      </c>
      <c r="AJ29" s="185">
        <v>4739</v>
      </c>
      <c r="AK29" s="42"/>
      <c r="AL29" s="42"/>
      <c r="AM29"/>
      <c r="AN29"/>
      <c r="AO29" s="186"/>
      <c r="AP29" s="188"/>
      <c r="AQ29" s="188"/>
      <c r="AR29" s="188"/>
      <c r="AS29" s="186"/>
      <c r="AT29" s="186"/>
      <c r="AU29"/>
      <c r="AV29"/>
      <c r="AW29"/>
      <c r="AX29"/>
      <c r="AY29"/>
      <c r="AZ29"/>
      <c r="BA29"/>
      <c r="BB29"/>
      <c r="BC29"/>
      <c r="BD29"/>
      <c r="BE29"/>
      <c r="BF29"/>
      <c r="BG29"/>
      <c r="BH29"/>
      <c r="BI29"/>
      <c r="BJ29"/>
      <c r="BK29"/>
      <c r="BL29"/>
      <c r="BM29"/>
      <c r="BN29"/>
      <c r="BO29"/>
      <c r="BP29"/>
      <c r="BQ29"/>
      <c r="BR29"/>
      <c r="BS29" s="14"/>
    </row>
    <row r="30" spans="1:71" x14ac:dyDescent="0.25">
      <c r="A30" s="1">
        <f>IF(A29&lt;'Project Information'!B$11,A29+1,"")</f>
        <v>2036</v>
      </c>
      <c r="B30" s="22">
        <f t="shared" si="0"/>
        <v>2041025.0681388029</v>
      </c>
      <c r="C30" s="22">
        <f t="shared" si="1"/>
        <v>332454.48795683781</v>
      </c>
      <c r="D30" s="8">
        <f t="shared" si="2"/>
        <v>1708570.5801819651</v>
      </c>
      <c r="H30" s="13"/>
      <c r="I30" s="178">
        <v>2034</v>
      </c>
      <c r="J30" s="238">
        <f>$AK$32*$B$12*'User Volumes'!G16</f>
        <v>1608657.829336599</v>
      </c>
      <c r="K30" s="238">
        <f>$AL$32*$B$13*('User Volumes'!G16)</f>
        <v>213040.03554057918</v>
      </c>
      <c r="L30" s="247">
        <f>('User Volumes'!K16)*'Other Highway Use Externalities'!$D$13</f>
        <v>65044.60875669049</v>
      </c>
      <c r="M30" s="247">
        <f>$AC$45*$B$12*('User Volumes'!E16)</f>
        <v>107544.08688182069</v>
      </c>
      <c r="N30" s="247">
        <f>$AD$45*$B$13*('User Volumes'!E16)</f>
        <v>6522.25052127043</v>
      </c>
      <c r="O30" s="247">
        <f>$AC$45*$B$12*'User Volumes'!D16</f>
        <v>307268.81966234482</v>
      </c>
      <c r="P30" s="247">
        <f>$AD$45*$B$13*'User Volumes'!D16</f>
        <v>18635.001489344086</v>
      </c>
      <c r="Q30" s="246"/>
      <c r="R30"/>
      <c r="S30" s="181">
        <v>2007</v>
      </c>
      <c r="T30" s="231">
        <v>271617000000</v>
      </c>
      <c r="U30" s="231" t="s">
        <v>438</v>
      </c>
      <c r="V30" s="231" t="s">
        <v>438</v>
      </c>
      <c r="W30" s="231" t="s">
        <v>438</v>
      </c>
      <c r="X30" s="231" t="s">
        <v>438</v>
      </c>
      <c r="Y30" s="231" t="s">
        <v>438</v>
      </c>
      <c r="Z30" s="231" t="s">
        <v>438</v>
      </c>
      <c r="AA30" s="183" t="s">
        <v>438</v>
      </c>
      <c r="AB30" s="183" t="s">
        <v>438</v>
      </c>
      <c r="AC30" s="181"/>
      <c r="AD30" s="181"/>
      <c r="AE30"/>
      <c r="AF30"/>
      <c r="AG30" s="181">
        <v>2022</v>
      </c>
      <c r="AH30" s="284">
        <v>1533416000000</v>
      </c>
      <c r="AI30" s="185">
        <v>762</v>
      </c>
      <c r="AJ30" s="185">
        <v>5198</v>
      </c>
      <c r="AK30" s="198"/>
      <c r="AL30" s="198"/>
      <c r="AM30"/>
      <c r="AN30"/>
      <c r="AO30" s="186"/>
      <c r="AP30" s="188"/>
      <c r="AQ30" s="188"/>
      <c r="AR30" s="188"/>
      <c r="AS30" s="186"/>
      <c r="AT30" s="186"/>
      <c r="AU30"/>
      <c r="AV30"/>
      <c r="AW30"/>
      <c r="AX30"/>
      <c r="AY30"/>
      <c r="AZ30"/>
      <c r="BA30"/>
      <c r="BB30"/>
      <c r="BC30"/>
      <c r="BD30"/>
      <c r="BE30"/>
      <c r="BF30"/>
      <c r="BG30"/>
      <c r="BH30"/>
      <c r="BI30"/>
      <c r="BJ30"/>
      <c r="BK30"/>
      <c r="BL30"/>
      <c r="BM30"/>
      <c r="BN30"/>
      <c r="BO30"/>
      <c r="BP30"/>
      <c r="BQ30"/>
      <c r="BR30"/>
      <c r="BS30" s="14"/>
    </row>
    <row r="31" spans="1:71" x14ac:dyDescent="0.25">
      <c r="A31" s="1">
        <f>IF(A30&lt;'Project Information'!B$11,A30+1,"")</f>
        <v>2037</v>
      </c>
      <c r="B31" s="22">
        <f t="shared" si="0"/>
        <v>2061435.3188201911</v>
      </c>
      <c r="C31" s="22">
        <f t="shared" si="1"/>
        <v>335779.03283640626</v>
      </c>
      <c r="D31" s="8">
        <f t="shared" si="2"/>
        <v>1725656.2859837848</v>
      </c>
      <c r="H31" s="13"/>
      <c r="I31" s="178">
        <v>2035</v>
      </c>
      <c r="J31" s="238">
        <f>$AK$32*$B$12*'User Volumes'!G17</f>
        <v>1624744.4076299653</v>
      </c>
      <c r="K31" s="238">
        <f>$AL$32*$B$13*('User Volumes'!G17)</f>
        <v>215170.43589598499</v>
      </c>
      <c r="L31" s="247">
        <f>('User Volumes'!K17)*'Other Highway Use Externalities'!$D$13</f>
        <v>65695.054844257378</v>
      </c>
      <c r="M31" s="247">
        <f>$AC$45*$B$12*('User Volumes'!E17)</f>
        <v>108619.5277506389</v>
      </c>
      <c r="N31" s="247">
        <f>$AD$45*$B$13*('User Volumes'!E17)</f>
        <v>6587.4730264831342</v>
      </c>
      <c r="O31" s="247">
        <f>$AC$45*$B$12*'User Volumes'!D17</f>
        <v>310341.50785896822</v>
      </c>
      <c r="P31" s="247">
        <f>$AD$45*$B$13*'User Volumes'!D17</f>
        <v>18821.351504237526</v>
      </c>
      <c r="Q31" s="246"/>
      <c r="R31"/>
      <c r="S31" s="181">
        <v>2008</v>
      </c>
      <c r="T31" s="231">
        <v>260945000000</v>
      </c>
      <c r="U31" s="231" t="s">
        <v>438</v>
      </c>
      <c r="V31" s="231" t="s">
        <v>438</v>
      </c>
      <c r="W31" s="231" t="s">
        <v>438</v>
      </c>
      <c r="X31" s="231" t="s">
        <v>438</v>
      </c>
      <c r="Y31" s="231" t="s">
        <v>438</v>
      </c>
      <c r="Z31" s="231" t="s">
        <v>438</v>
      </c>
      <c r="AA31" s="183" t="s">
        <v>438</v>
      </c>
      <c r="AB31" s="183" t="s">
        <v>438</v>
      </c>
      <c r="AC31" s="181"/>
      <c r="AD31" s="181"/>
      <c r="AE31"/>
      <c r="AF31"/>
      <c r="AG31" s="181">
        <v>2023</v>
      </c>
      <c r="AH31" s="284"/>
      <c r="AI31" s="185">
        <v>869</v>
      </c>
      <c r="AJ31" s="185">
        <v>5200</v>
      </c>
      <c r="AK31" s="198"/>
      <c r="AL31" s="198"/>
      <c r="AM31"/>
      <c r="AN31"/>
      <c r="AO31" s="253"/>
      <c r="AP31" s="188"/>
      <c r="AQ31" s="188"/>
      <c r="AR31" s="188"/>
      <c r="AS31" s="186"/>
      <c r="AT31" s="186"/>
      <c r="AU31"/>
      <c r="AV31"/>
      <c r="AW31"/>
      <c r="AX31"/>
      <c r="AY31"/>
      <c r="AZ31"/>
      <c r="BA31"/>
      <c r="BB31"/>
      <c r="BC31"/>
      <c r="BD31"/>
      <c r="BE31"/>
      <c r="BF31"/>
      <c r="BG31"/>
      <c r="BH31"/>
      <c r="BI31"/>
      <c r="BJ31"/>
      <c r="BK31"/>
      <c r="BL31"/>
      <c r="BM31"/>
      <c r="BN31"/>
      <c r="BO31"/>
      <c r="BP31"/>
      <c r="BQ31"/>
      <c r="BR31"/>
      <c r="BS31" s="14"/>
    </row>
    <row r="32" spans="1:71" x14ac:dyDescent="0.25">
      <c r="A32" s="1">
        <f>IF(A31&lt;'Project Information'!B$11,A31+1,"")</f>
        <v>2038</v>
      </c>
      <c r="B32" s="22">
        <f t="shared" si="0"/>
        <v>2082049.6720083929</v>
      </c>
      <c r="C32" s="22">
        <f t="shared" si="1"/>
        <v>339136.82316477032</v>
      </c>
      <c r="D32" s="8">
        <f t="shared" si="2"/>
        <v>1742912.8488436225</v>
      </c>
      <c r="H32" s="13"/>
      <c r="I32" s="178">
        <v>2036</v>
      </c>
      <c r="J32" s="238">
        <f>$AK$32*$B$12*'User Volumes'!G18</f>
        <v>1640991.851706265</v>
      </c>
      <c r="K32" s="238">
        <f>$AL$32*$B$13*('User Volumes'!G18)</f>
        <v>217322.14025494485</v>
      </c>
      <c r="L32" s="247">
        <f>('User Volumes'!K18)*'Other Highway Use Externalities'!$D$13</f>
        <v>66352.005392699954</v>
      </c>
      <c r="M32" s="247">
        <f>$AC$45*$B$12*('User Volumes'!E18)</f>
        <v>109705.72302814528</v>
      </c>
      <c r="N32" s="247">
        <f>$AD$45*$B$13*('User Volumes'!E18)</f>
        <v>6653.3477567479658</v>
      </c>
      <c r="O32" s="247">
        <f>$AC$45*$B$12*'User Volumes'!D18</f>
        <v>313444.92293755792</v>
      </c>
      <c r="P32" s="247">
        <f>$AD$45*$B$13*'User Volumes'!D18</f>
        <v>19009.5650192799</v>
      </c>
      <c r="Q32" s="246"/>
      <c r="R32"/>
      <c r="S32" s="181">
        <v>2009</v>
      </c>
      <c r="T32" s="231">
        <v>245219000000</v>
      </c>
      <c r="U32" s="231" t="s">
        <v>438</v>
      </c>
      <c r="V32" s="231" t="s">
        <v>438</v>
      </c>
      <c r="W32" s="231" t="s">
        <v>438</v>
      </c>
      <c r="X32" s="231" t="s">
        <v>438</v>
      </c>
      <c r="Y32" s="231" t="s">
        <v>438</v>
      </c>
      <c r="Z32" s="231" t="s">
        <v>438</v>
      </c>
      <c r="AA32" s="183" t="s">
        <v>438</v>
      </c>
      <c r="AB32" s="183" t="s">
        <v>438</v>
      </c>
      <c r="AC32" s="42"/>
      <c r="AD32" s="42"/>
      <c r="AE32"/>
      <c r="AF32"/>
      <c r="AG32" s="178" t="s">
        <v>439</v>
      </c>
      <c r="AH32" s="202">
        <f>AVERAGE(AH25:AH31)</f>
        <v>1587669833333.3333</v>
      </c>
      <c r="AI32" s="202">
        <f>AVERAGE(AI25:AI31)</f>
        <v>720.14285714285711</v>
      </c>
      <c r="AJ32" s="202">
        <f>AVERAGE(AJ25:AJ31)</f>
        <v>5478.5714285714284</v>
      </c>
      <c r="AK32" s="240">
        <f>AI32/$AH$32</f>
        <v>4.5358477060114441E-10</v>
      </c>
      <c r="AL32" s="240">
        <f>AJ32/$AH$32</f>
        <v>3.4506994549799419E-9</v>
      </c>
      <c r="AM32"/>
      <c r="AN32"/>
      <c r="AO32" s="186"/>
      <c r="AP32" s="188"/>
      <c r="AQ32" s="188"/>
      <c r="AR32" s="188"/>
      <c r="AS32" s="186"/>
      <c r="AT32" s="186"/>
      <c r="AU32"/>
      <c r="AV32"/>
      <c r="AW32"/>
      <c r="AX32"/>
      <c r="AY32"/>
      <c r="AZ32"/>
      <c r="BA32"/>
      <c r="BB32"/>
      <c r="BC32"/>
      <c r="BD32"/>
      <c r="BE32"/>
      <c r="BF32"/>
      <c r="BG32"/>
      <c r="BH32"/>
      <c r="BI32"/>
      <c r="BJ32"/>
      <c r="BK32"/>
      <c r="BL32"/>
      <c r="BM32"/>
      <c r="BN32"/>
      <c r="BO32"/>
      <c r="BP32"/>
      <c r="BQ32"/>
      <c r="BR32"/>
      <c r="BS32" s="14"/>
    </row>
    <row r="33" spans="1:71" x14ac:dyDescent="0.25">
      <c r="A33" s="1">
        <f>IF(A32&lt;'Project Information'!B$11,A32+1,"")</f>
        <v>2039</v>
      </c>
      <c r="B33" s="22">
        <f t="shared" si="0"/>
        <v>2102870.1687284769</v>
      </c>
      <c r="C33" s="22">
        <f t="shared" si="1"/>
        <v>342528.19139641797</v>
      </c>
      <c r="D33" s="8">
        <f t="shared" si="2"/>
        <v>1760341.9773320588</v>
      </c>
      <c r="H33" s="13"/>
      <c r="I33" s="178">
        <v>2037</v>
      </c>
      <c r="J33" s="238">
        <f>$AK$32*$B$12*'User Volumes'!G19</f>
        <v>1657401.7702233277</v>
      </c>
      <c r="K33" s="238">
        <f>$AL$32*$B$13*('User Volumes'!G19)</f>
        <v>219495.3616574943</v>
      </c>
      <c r="L33" s="247">
        <f>('User Volumes'!K19)*'Other Highway Use Externalities'!$D$13</f>
        <v>67015.525446626954</v>
      </c>
      <c r="M33" s="247">
        <f>$AC$45*$B$12*('User Volumes'!E19)</f>
        <v>110802.78025842673</v>
      </c>
      <c r="N33" s="247">
        <f>$AD$45*$B$13*('User Volumes'!E19)</f>
        <v>6719.8812343154459</v>
      </c>
      <c r="O33" s="247">
        <f>$AC$45*$B$12*'User Volumes'!D19</f>
        <v>316579.37216693355</v>
      </c>
      <c r="P33" s="247">
        <f>$AD$45*$B$13*'User Volumes'!D19</f>
        <v>19199.660669472705</v>
      </c>
      <c r="Q33" s="246"/>
      <c r="R33"/>
      <c r="S33" s="181">
        <v>2010</v>
      </c>
      <c r="T33" s="231">
        <v>263292000000</v>
      </c>
      <c r="U33" s="231" t="s">
        <v>438</v>
      </c>
      <c r="V33" s="231" t="s">
        <v>438</v>
      </c>
      <c r="W33" s="231" t="s">
        <v>438</v>
      </c>
      <c r="X33" s="231" t="s">
        <v>438</v>
      </c>
      <c r="Y33" s="231" t="s">
        <v>438</v>
      </c>
      <c r="Z33" s="231" t="s">
        <v>438</v>
      </c>
      <c r="AA33" s="183" t="s">
        <v>438</v>
      </c>
      <c r="AB33" s="183" t="s">
        <v>438</v>
      </c>
      <c r="AC33" s="42"/>
      <c r="AD33" s="42"/>
      <c r="AE33"/>
      <c r="AF33"/>
      <c r="AG33"/>
      <c r="AH33"/>
      <c r="AI33"/>
      <c r="AJ33"/>
      <c r="AK33"/>
      <c r="AL33"/>
      <c r="AM33"/>
      <c r="AN33"/>
      <c r="AO33" s="245"/>
      <c r="AP33" s="254"/>
      <c r="AQ33" s="254"/>
      <c r="AR33" s="254"/>
      <c r="AS33" s="255"/>
      <c r="AT33" s="255"/>
      <c r="AU33"/>
      <c r="AV33"/>
      <c r="AW33"/>
      <c r="AX33"/>
      <c r="AY33"/>
      <c r="AZ33"/>
      <c r="BA33"/>
      <c r="BB33"/>
      <c r="BC33"/>
      <c r="BD33"/>
      <c r="BE33"/>
      <c r="BF33"/>
      <c r="BG33"/>
      <c r="BH33"/>
      <c r="BI33"/>
      <c r="BJ33"/>
      <c r="BK33"/>
      <c r="BL33"/>
      <c r="BM33"/>
      <c r="BN33"/>
      <c r="BO33"/>
      <c r="BP33"/>
      <c r="BQ33"/>
      <c r="BR33"/>
      <c r="BS33" s="14"/>
    </row>
    <row r="34" spans="1:71" x14ac:dyDescent="0.25">
      <c r="A34" s="1">
        <f>IF(A33&lt;'Project Information'!B$11,A33+1,"")</f>
        <v>2040</v>
      </c>
      <c r="B34" s="22">
        <f t="shared" si="0"/>
        <v>2123898.8704157616</v>
      </c>
      <c r="C34" s="22">
        <f t="shared" si="1"/>
        <v>345953.47331038211</v>
      </c>
      <c r="D34" s="8">
        <f t="shared" si="2"/>
        <v>1777945.3971053795</v>
      </c>
      <c r="H34" s="13"/>
      <c r="I34" s="178">
        <v>2038</v>
      </c>
      <c r="J34" s="238">
        <f>$AK$32*$B$12*'User Volumes'!G20</f>
        <v>1673975.7879255607</v>
      </c>
      <c r="K34" s="238">
        <f>$AL$32*$B$13*('User Volumes'!G20)</f>
        <v>221690.31527406923</v>
      </c>
      <c r="L34" s="247">
        <f>('User Volumes'!K20)*'Other Highway Use Externalities'!$D$13</f>
        <v>67685.680701093224</v>
      </c>
      <c r="M34" s="247">
        <f>$AC$45*$B$12*('User Volumes'!E20)</f>
        <v>111910.80806101099</v>
      </c>
      <c r="N34" s="247">
        <f>$AD$45*$B$13*('User Volumes'!E20)</f>
        <v>6787.0800466585997</v>
      </c>
      <c r="O34" s="247">
        <f>$AC$45*$B$12*'User Volumes'!D20</f>
        <v>319745.1658886029</v>
      </c>
      <c r="P34" s="247">
        <f>$AD$45*$B$13*'User Volumes'!D20</f>
        <v>19391.657276167429</v>
      </c>
      <c r="Q34" s="246"/>
      <c r="R34"/>
      <c r="S34" s="181">
        <v>2011</v>
      </c>
      <c r="T34" s="231">
        <v>268807000000</v>
      </c>
      <c r="U34" s="231" t="s">
        <v>438</v>
      </c>
      <c r="V34" s="231" t="s">
        <v>438</v>
      </c>
      <c r="W34" s="231" t="s">
        <v>438</v>
      </c>
      <c r="X34" s="231" t="s">
        <v>438</v>
      </c>
      <c r="Y34" s="231" t="s">
        <v>438</v>
      </c>
      <c r="Z34" s="231" t="s">
        <v>438</v>
      </c>
      <c r="AA34" s="183" t="s">
        <v>438</v>
      </c>
      <c r="AB34" s="183" t="s">
        <v>438</v>
      </c>
      <c r="AC34" s="198"/>
      <c r="AD34" s="198"/>
      <c r="AE34"/>
      <c r="AF34"/>
      <c r="AG34" s="230" t="s">
        <v>440</v>
      </c>
      <c r="AH34"/>
      <c r="AI34"/>
      <c r="AJ34"/>
      <c r="AK34"/>
      <c r="AL34"/>
      <c r="AM34"/>
      <c r="AN34"/>
      <c r="AO34" s="194"/>
      <c r="AP34" s="194"/>
      <c r="AQ34" s="194"/>
      <c r="AR34" s="194"/>
      <c r="AS34" s="194"/>
      <c r="AT34" s="194"/>
      <c r="AU34"/>
      <c r="AV34"/>
      <c r="AW34"/>
      <c r="AX34"/>
      <c r="AY34"/>
      <c r="AZ34"/>
      <c r="BA34"/>
      <c r="BB34"/>
      <c r="BC34"/>
      <c r="BD34"/>
      <c r="BE34"/>
      <c r="BF34"/>
      <c r="BG34"/>
      <c r="BH34"/>
      <c r="BI34"/>
      <c r="BJ34"/>
      <c r="BK34"/>
      <c r="BL34"/>
      <c r="BM34"/>
      <c r="BN34"/>
      <c r="BO34"/>
      <c r="BP34"/>
      <c r="BQ34"/>
      <c r="BR34"/>
      <c r="BS34" s="14"/>
    </row>
    <row r="35" spans="1:71" x14ac:dyDescent="0.25">
      <c r="A35" s="1">
        <f>IF(A34&lt;'Project Information'!B$11,A34+1,"")</f>
        <v>2041</v>
      </c>
      <c r="B35" s="22">
        <f t="shared" si="0"/>
        <v>2145137.8591199191</v>
      </c>
      <c r="C35" s="22">
        <f t="shared" si="1"/>
        <v>349413.00804348604</v>
      </c>
      <c r="D35" s="8">
        <f t="shared" si="2"/>
        <v>1795724.851076433</v>
      </c>
      <c r="H35" s="13"/>
      <c r="I35" s="178">
        <v>2039</v>
      </c>
      <c r="J35" s="238">
        <f>$AK$32*$B$12*'User Volumes'!G21</f>
        <v>1690715.5458048163</v>
      </c>
      <c r="K35" s="238">
        <f>$AL$32*$B$13*('User Volumes'!G21)</f>
        <v>223907.21842680991</v>
      </c>
      <c r="L35" s="247">
        <f>('User Volumes'!K21)*'Other Highway Use Externalities'!$D$13</f>
        <v>68362.537508104157</v>
      </c>
      <c r="M35" s="247">
        <f>$AC$45*$B$12*('User Volumes'!E21)</f>
        <v>113029.91614162111</v>
      </c>
      <c r="N35" s="247">
        <f>$AD$45*$B$13*('User Volumes'!E21)</f>
        <v>6854.9508471251856</v>
      </c>
      <c r="O35" s="247">
        <f>$AC$45*$B$12*'User Volumes'!D21</f>
        <v>322942.61754748889</v>
      </c>
      <c r="P35" s="247">
        <f>$AD$45*$B$13*'User Volumes'!D21</f>
        <v>19585.573848929103</v>
      </c>
      <c r="Q35" s="246"/>
      <c r="R35"/>
      <c r="S35" s="181">
        <v>2012</v>
      </c>
      <c r="T35" s="231">
        <v>268482000000</v>
      </c>
      <c r="U35" s="231" t="s">
        <v>438</v>
      </c>
      <c r="V35" s="231" t="s">
        <v>438</v>
      </c>
      <c r="W35" s="231" t="s">
        <v>438</v>
      </c>
      <c r="X35" s="231" t="s">
        <v>438</v>
      </c>
      <c r="Y35" s="231" t="s">
        <v>438</v>
      </c>
      <c r="Z35" s="231" t="s">
        <v>438</v>
      </c>
      <c r="AA35" s="183" t="s">
        <v>438</v>
      </c>
      <c r="AB35" s="183" t="s">
        <v>438</v>
      </c>
      <c r="AC35" s="42"/>
      <c r="AD35" s="42"/>
      <c r="AE35"/>
      <c r="AF35"/>
      <c r="AG35" s="5" t="s">
        <v>441</v>
      </c>
      <c r="AH35" s="194"/>
      <c r="AI35" s="194"/>
      <c r="AJ35" s="194"/>
      <c r="AK35"/>
      <c r="AL35"/>
      <c r="AM35"/>
      <c r="AN35"/>
      <c r="AO35" s="194"/>
      <c r="AP35" s="194"/>
      <c r="AQ35" s="194"/>
      <c r="AR35" s="194"/>
      <c r="AS35" s="194"/>
      <c r="AT35" s="194"/>
      <c r="AU35"/>
      <c r="AV35"/>
      <c r="AW35"/>
      <c r="AX35"/>
      <c r="AY35"/>
      <c r="AZ35"/>
      <c r="BA35"/>
      <c r="BB35"/>
      <c r="BC35"/>
      <c r="BD35"/>
      <c r="BE35"/>
      <c r="BF35"/>
      <c r="BG35"/>
      <c r="BH35"/>
      <c r="BI35"/>
      <c r="BJ35"/>
      <c r="BK35"/>
      <c r="BL35"/>
      <c r="BM35"/>
      <c r="BN35"/>
      <c r="BO35"/>
      <c r="BP35"/>
      <c r="BQ35"/>
      <c r="BR35"/>
      <c r="BS35" s="14"/>
    </row>
    <row r="36" spans="1:71" x14ac:dyDescent="0.25">
      <c r="A36" s="1">
        <f>IF(A35&lt;'Project Information'!B$11,A35+1,"")</f>
        <v>2042</v>
      </c>
      <c r="B36" s="22">
        <f t="shared" si="0"/>
        <v>2166589.2377111185</v>
      </c>
      <c r="C36" s="22">
        <f t="shared" si="1"/>
        <v>352907.13812392083</v>
      </c>
      <c r="D36" s="8">
        <f t="shared" si="2"/>
        <v>1813682.0995871976</v>
      </c>
      <c r="H36" s="13"/>
      <c r="I36" s="178">
        <v>2040</v>
      </c>
      <c r="J36" s="238">
        <f>$AK$32*$B$12*'User Volumes'!G22</f>
        <v>1707622.7012628643</v>
      </c>
      <c r="K36" s="238">
        <f>$AL$32*$B$13*('User Volumes'!G22)</f>
        <v>226146.29061107797</v>
      </c>
      <c r="L36" s="247">
        <f>('User Volumes'!K22)*'Other Highway Use Externalities'!$D$13</f>
        <v>69046.162883185199</v>
      </c>
      <c r="M36" s="247">
        <f>$AC$45*$B$12*('User Volumes'!E22)</f>
        <v>114160.2153030373</v>
      </c>
      <c r="N36" s="247">
        <f>$AD$45*$B$13*('User Volumes'!E22)</f>
        <v>6923.5003555964367</v>
      </c>
      <c r="O36" s="247">
        <f>$AC$45*$B$12*'User Volumes'!D22</f>
        <v>326172.04372296372</v>
      </c>
      <c r="P36" s="247">
        <f>$AD$45*$B$13*'User Volumes'!D22</f>
        <v>19781.429587418392</v>
      </c>
      <c r="Q36" s="246"/>
      <c r="R36"/>
      <c r="S36" s="181">
        <v>2013</v>
      </c>
      <c r="T36" s="231">
        <v>251469000000</v>
      </c>
      <c r="U36" s="231" t="s">
        <v>438</v>
      </c>
      <c r="V36" s="231" t="s">
        <v>438</v>
      </c>
      <c r="W36" s="231" t="s">
        <v>438</v>
      </c>
      <c r="X36" s="231" t="s">
        <v>438</v>
      </c>
      <c r="Y36" s="231" t="s">
        <v>438</v>
      </c>
      <c r="Z36" s="231" t="s">
        <v>438</v>
      </c>
      <c r="AA36" s="183" t="s">
        <v>438</v>
      </c>
      <c r="AB36" s="183" t="s">
        <v>438</v>
      </c>
      <c r="AC36" s="42"/>
      <c r="AD36" s="42"/>
      <c r="AE36"/>
      <c r="AF36"/>
      <c r="AG36" s="230" t="s">
        <v>442</v>
      </c>
      <c r="AH36" s="194"/>
      <c r="AI36" s="194"/>
      <c r="AJ36" s="194"/>
      <c r="AK36"/>
      <c r="AL36"/>
      <c r="AM36"/>
      <c r="AN36"/>
      <c r="AO36" s="194"/>
      <c r="AP36" s="194"/>
      <c r="AQ36" s="194"/>
      <c r="AR36" s="194"/>
      <c r="AS36" s="194"/>
      <c r="AT36" s="194"/>
      <c r="AU36"/>
      <c r="AV36"/>
      <c r="AW36"/>
      <c r="AX36"/>
      <c r="AY36"/>
      <c r="AZ36"/>
      <c r="BA36"/>
      <c r="BB36"/>
      <c r="BC36"/>
      <c r="BD36"/>
      <c r="BE36"/>
      <c r="BF36"/>
      <c r="BG36"/>
      <c r="BH36"/>
      <c r="BI36"/>
      <c r="BJ36"/>
      <c r="BK36"/>
      <c r="BL36"/>
      <c r="BM36"/>
      <c r="BN36"/>
      <c r="BO36"/>
      <c r="BP36"/>
      <c r="BQ36"/>
      <c r="BR36"/>
      <c r="BS36" s="14"/>
    </row>
    <row r="37" spans="1:71" x14ac:dyDescent="0.25">
      <c r="A37" s="1">
        <f>IF(A36&lt;'Project Information'!B$11,A36+1,"")</f>
        <v>2043</v>
      </c>
      <c r="B37" s="22">
        <f t="shared" si="0"/>
        <v>2188255.1300882292</v>
      </c>
      <c r="C37" s="22">
        <f t="shared" si="1"/>
        <v>356436.20950516005</v>
      </c>
      <c r="D37" s="8">
        <f t="shared" si="2"/>
        <v>1831818.9205830691</v>
      </c>
      <c r="H37" s="13"/>
      <c r="I37" s="178">
        <v>2041</v>
      </c>
      <c r="J37" s="238">
        <f>$AK$32*$B$12*'User Volumes'!G23</f>
        <v>1724698.9282754932</v>
      </c>
      <c r="K37" s="238">
        <f>$AL$32*$B$13*('User Volumes'!G23)</f>
        <v>228407.7535171888</v>
      </c>
      <c r="L37" s="247">
        <f>('User Volumes'!K23)*'Other Highway Use Externalities'!$D$13</f>
        <v>69736.62451201705</v>
      </c>
      <c r="M37" s="247">
        <f>$AC$45*$B$12*('User Volumes'!E23)</f>
        <v>115301.8174560677</v>
      </c>
      <c r="N37" s="247">
        <f>$AD$45*$B$13*('User Volumes'!E23)</f>
        <v>6992.7353591524025</v>
      </c>
      <c r="O37" s="247">
        <f>$AC$45*$B$12*'User Volumes'!D23</f>
        <v>329433.76416019344</v>
      </c>
      <c r="P37" s="247">
        <f>$AD$45*$B$13*'User Volumes'!D23</f>
        <v>19979.24388329258</v>
      </c>
      <c r="Q37" s="246"/>
      <c r="R37"/>
      <c r="S37" s="181">
        <v>2014</v>
      </c>
      <c r="T37" s="231">
        <v>281112000000</v>
      </c>
      <c r="U37" s="231" t="s">
        <v>438</v>
      </c>
      <c r="V37" s="231" t="s">
        <v>438</v>
      </c>
      <c r="W37" s="231" t="s">
        <v>438</v>
      </c>
      <c r="X37" s="231" t="s">
        <v>438</v>
      </c>
      <c r="Y37" s="231" t="s">
        <v>438</v>
      </c>
      <c r="Z37" s="231" t="s">
        <v>438</v>
      </c>
      <c r="AA37" s="183" t="s">
        <v>438</v>
      </c>
      <c r="AB37" s="183" t="s">
        <v>438</v>
      </c>
      <c r="AC37" s="42"/>
      <c r="AD37" s="42"/>
      <c r="AE37"/>
      <c r="AF37"/>
      <c r="AG37" s="194" t="s">
        <v>443</v>
      </c>
      <c r="AH37" s="194"/>
      <c r="AI37" s="194"/>
      <c r="AJ37" s="194"/>
      <c r="AK37"/>
      <c r="AL37"/>
      <c r="AM37"/>
      <c r="AN37"/>
      <c r="AO37" s="194"/>
      <c r="AP37" s="194"/>
      <c r="AQ37" s="194"/>
      <c r="AR37" s="194"/>
      <c r="AS37" s="194"/>
      <c r="AT37" s="194"/>
      <c r="AU37"/>
      <c r="AV37"/>
      <c r="AW37"/>
      <c r="AX37"/>
      <c r="AY37"/>
      <c r="AZ37"/>
      <c r="BA37"/>
      <c r="BB37"/>
      <c r="BC37"/>
      <c r="BD37"/>
      <c r="BE37"/>
      <c r="BF37"/>
      <c r="BG37"/>
      <c r="BH37"/>
      <c r="BI37"/>
      <c r="BJ37"/>
      <c r="BK37"/>
      <c r="BL37"/>
      <c r="BM37"/>
      <c r="BN37"/>
      <c r="BO37"/>
      <c r="BP37"/>
      <c r="BQ37"/>
      <c r="BR37"/>
      <c r="BS37" s="14"/>
    </row>
    <row r="38" spans="1:71" x14ac:dyDescent="0.25">
      <c r="A38" s="1">
        <f>IF(A37&lt;'Project Information'!B$11,A37+1,"")</f>
        <v>2044</v>
      </c>
      <c r="B38" s="22">
        <f t="shared" si="0"/>
        <v>2210137.681389112</v>
      </c>
      <c r="C38" s="22">
        <f t="shared" si="1"/>
        <v>360000.57160021167</v>
      </c>
      <c r="D38" s="8">
        <f t="shared" si="2"/>
        <v>1850137.1097889002</v>
      </c>
      <c r="H38" s="13"/>
      <c r="I38" s="178">
        <v>2042</v>
      </c>
      <c r="J38" s="238">
        <f>$AK$32*$B$12*'User Volumes'!G24</f>
        <v>1741945.9175582482</v>
      </c>
      <c r="K38" s="238">
        <f>$AL$32*$B$13*('User Volumes'!G24)</f>
        <v>230691.83105236071</v>
      </c>
      <c r="L38" s="247">
        <f>('User Volumes'!K24)*'Other Highway Use Externalities'!$D$13</f>
        <v>70433.990757137231</v>
      </c>
      <c r="M38" s="247">
        <f>$AC$45*$B$12*('User Volumes'!E24)</f>
        <v>116454.83563062835</v>
      </c>
      <c r="N38" s="247">
        <f>$AD$45*$B$13*('User Volumes'!E24)</f>
        <v>7062.6627127439251</v>
      </c>
      <c r="O38" s="247">
        <f>$AC$45*$B$12*'User Volumes'!D24</f>
        <v>332728.1018017953</v>
      </c>
      <c r="P38" s="247">
        <f>$AD$45*$B$13*'User Volumes'!D24</f>
        <v>20179.036322125503</v>
      </c>
      <c r="Q38" s="246"/>
      <c r="R38"/>
      <c r="S38" s="181">
        <v>2015</v>
      </c>
      <c r="T38" s="231">
        <v>267197000000</v>
      </c>
      <c r="U38" s="231" t="s">
        <v>438</v>
      </c>
      <c r="V38" s="231" t="s">
        <v>438</v>
      </c>
      <c r="W38" s="231" t="s">
        <v>438</v>
      </c>
      <c r="X38" s="231" t="s">
        <v>438</v>
      </c>
      <c r="Y38" s="231" t="s">
        <v>438</v>
      </c>
      <c r="Z38" s="231" t="s">
        <v>438</v>
      </c>
      <c r="AA38" s="183" t="s">
        <v>438</v>
      </c>
      <c r="AB38" s="183" t="s">
        <v>438</v>
      </c>
      <c r="AC38" s="42"/>
      <c r="AD38" s="42"/>
      <c r="AE38"/>
      <c r="AF38"/>
      <c r="AG38" s="186"/>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s="14"/>
    </row>
    <row r="39" spans="1:71" x14ac:dyDescent="0.25">
      <c r="A39" s="1">
        <f>IF(A38&lt;'Project Information'!B$11,A38+1,"")</f>
        <v>2045</v>
      </c>
      <c r="B39" s="22">
        <f t="shared" si="0"/>
        <v>2232239.0582030029</v>
      </c>
      <c r="C39" s="22">
        <f t="shared" si="1"/>
        <v>363600.57731621381</v>
      </c>
      <c r="D39" s="8">
        <f t="shared" si="2"/>
        <v>1868638.480886789</v>
      </c>
      <c r="H39" s="13"/>
      <c r="I39" s="178">
        <v>2043</v>
      </c>
      <c r="J39" s="238">
        <f>$AK$32*$B$12*'User Volumes'!G25</f>
        <v>1759365.3767338307</v>
      </c>
      <c r="K39" s="238">
        <f>$AL$32*$B$13*('User Volumes'!G25)</f>
        <v>232998.74936288429</v>
      </c>
      <c r="L39" s="247">
        <f>('User Volumes'!K25)*'Other Highway Use Externalities'!$D$13</f>
        <v>71138.330664708599</v>
      </c>
      <c r="M39" s="247">
        <f>$AC$45*$B$12*('User Volumes'!E25)</f>
        <v>117619.38398693464</v>
      </c>
      <c r="N39" s="247">
        <f>$AD$45*$B$13*('User Volumes'!E25)</f>
        <v>7133.289339871365</v>
      </c>
      <c r="O39" s="247">
        <f>$AC$45*$B$12*'User Volumes'!D25</f>
        <v>336055.38281981327</v>
      </c>
      <c r="P39" s="247">
        <f>$AD$45*$B$13*'User Volumes'!D25</f>
        <v>20380.826685346758</v>
      </c>
      <c r="Q39" s="246"/>
      <c r="R39"/>
      <c r="S39" s="181">
        <v>2016</v>
      </c>
      <c r="T39" s="231">
        <v>261385000000</v>
      </c>
      <c r="U39" s="231" t="s">
        <v>438</v>
      </c>
      <c r="V39" s="231" t="s">
        <v>438</v>
      </c>
      <c r="W39" s="231" t="s">
        <v>438</v>
      </c>
      <c r="X39" s="231" t="s">
        <v>438</v>
      </c>
      <c r="Y39" s="231" t="s">
        <v>438</v>
      </c>
      <c r="Z39" s="231" t="s">
        <v>438</v>
      </c>
      <c r="AA39" s="183" t="s">
        <v>438</v>
      </c>
      <c r="AB39" s="183" t="s">
        <v>438</v>
      </c>
      <c r="AC39" s="42"/>
      <c r="AD39" s="42"/>
      <c r="AE39"/>
      <c r="AF39"/>
      <c r="AG39" s="186"/>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s="14"/>
    </row>
    <row r="40" spans="1:71" x14ac:dyDescent="0.25">
      <c r="A40" s="1">
        <f>IF(A39&lt;'Project Information'!B$11,A39+1,"")</f>
        <v>2046</v>
      </c>
      <c r="B40" s="22">
        <f t="shared" si="0"/>
        <v>2254561.4487850331</v>
      </c>
      <c r="C40" s="22">
        <f t="shared" si="1"/>
        <v>367236.58308937598</v>
      </c>
      <c r="D40" s="8">
        <f t="shared" si="2"/>
        <v>1887324.8656956572</v>
      </c>
      <c r="H40" s="13"/>
      <c r="I40" s="178">
        <v>2044</v>
      </c>
      <c r="J40" s="238">
        <f>$AK$32*$B$12*'User Volumes'!G26</f>
        <v>1776959.0305011692</v>
      </c>
      <c r="K40" s="238">
        <f>$AL$32*$B$13*('User Volumes'!G26)</f>
        <v>235328.73685651316</v>
      </c>
      <c r="L40" s="247">
        <f>('User Volumes'!K26)*'Other Highway Use Externalities'!$D$13</f>
        <v>71849.713971355683</v>
      </c>
      <c r="M40" s="247">
        <f>$AC$45*$B$12*('User Volumes'!E26)</f>
        <v>118795.577826804</v>
      </c>
      <c r="N40" s="247">
        <f>$AD$45*$B$13*('User Volumes'!E26)</f>
        <v>7204.6222332700791</v>
      </c>
      <c r="O40" s="247">
        <f>$AC$45*$B$12*'User Volumes'!D26</f>
        <v>339415.93664801144</v>
      </c>
      <c r="P40" s="247">
        <f>$AD$45*$B$13*'User Volumes'!D26</f>
        <v>20584.634952200227</v>
      </c>
      <c r="Q40" s="246"/>
      <c r="R40"/>
      <c r="S40" s="181">
        <v>2017</v>
      </c>
      <c r="T40" s="231">
        <v>264176000000</v>
      </c>
      <c r="U40" s="231" t="s">
        <v>438</v>
      </c>
      <c r="V40" s="231" t="s">
        <v>438</v>
      </c>
      <c r="W40" s="231" t="s">
        <v>438</v>
      </c>
      <c r="X40" s="231" t="s">
        <v>438</v>
      </c>
      <c r="Y40" s="231" t="s">
        <v>438</v>
      </c>
      <c r="Z40" s="231" t="s">
        <v>438</v>
      </c>
      <c r="AA40" s="183" t="s">
        <v>438</v>
      </c>
      <c r="AB40" s="183" t="s">
        <v>438</v>
      </c>
      <c r="AC40" s="42"/>
      <c r="AD40" s="42"/>
      <c r="AE40"/>
      <c r="AF40"/>
      <c r="AG40" s="186"/>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s="14"/>
    </row>
    <row r="41" spans="1:71" x14ac:dyDescent="0.25">
      <c r="A41" s="1">
        <f>IF(A40&lt;'Project Information'!B$11,A40+1,"")</f>
        <v>2047</v>
      </c>
      <c r="B41" s="22">
        <f t="shared" si="0"/>
        <v>2277107.0632728832</v>
      </c>
      <c r="C41" s="22">
        <f t="shared" si="1"/>
        <v>370908.94892026967</v>
      </c>
      <c r="D41" s="8">
        <f t="shared" si="2"/>
        <v>1906198.1143526135</v>
      </c>
      <c r="H41" s="13"/>
      <c r="I41" s="178">
        <v>2045</v>
      </c>
      <c r="J41" s="238">
        <f>$AK$32*$B$12*'User Volumes'!G27</f>
        <v>1794728.6208061806</v>
      </c>
      <c r="K41" s="238">
        <f>$AL$32*$B$13*('User Volumes'!G27)</f>
        <v>237682.02422507829</v>
      </c>
      <c r="L41" s="247">
        <f>('User Volumes'!K27)*'Other Highway Use Externalities'!$D$13</f>
        <v>72568.211111069235</v>
      </c>
      <c r="M41" s="247">
        <f>$AC$45*$B$12*('User Volumes'!E27)</f>
        <v>119983.53360507205</v>
      </c>
      <c r="N41" s="247">
        <f>$AD$45*$B$13*('User Volumes'!E27)</f>
        <v>7276.6684556027803</v>
      </c>
      <c r="O41" s="247">
        <f>$AC$45*$B$12*'User Volumes'!D27</f>
        <v>342810.09601449157</v>
      </c>
      <c r="P41" s="247">
        <f>$AD$45*$B$13*'User Volumes'!D27</f>
        <v>20790.48130172223</v>
      </c>
      <c r="Q41" s="246"/>
      <c r="R41"/>
      <c r="S41" s="181">
        <v>2018</v>
      </c>
      <c r="T41" s="231">
        <v>270159000000</v>
      </c>
      <c r="U41" s="231" t="s">
        <v>438</v>
      </c>
      <c r="V41" s="231" t="s">
        <v>438</v>
      </c>
      <c r="W41" s="231" t="s">
        <v>438</v>
      </c>
      <c r="X41" s="231" t="s">
        <v>438</v>
      </c>
      <c r="Y41" s="231" t="s">
        <v>438</v>
      </c>
      <c r="Z41" s="231" t="s">
        <v>438</v>
      </c>
      <c r="AA41" s="183" t="s">
        <v>438</v>
      </c>
      <c r="AB41" s="183" t="s">
        <v>438</v>
      </c>
      <c r="AC41" s="42"/>
      <c r="AD41" s="42"/>
      <c r="AE41"/>
      <c r="AF41"/>
      <c r="AG41" s="186"/>
      <c r="AH41"/>
      <c r="AI41"/>
      <c r="AJ41"/>
      <c r="AK41"/>
      <c r="AL41"/>
      <c r="AM41"/>
      <c r="AN41"/>
      <c r="AW41"/>
      <c r="AX41"/>
      <c r="AY41"/>
      <c r="AZ41"/>
      <c r="BA41"/>
      <c r="BB41"/>
      <c r="BC41"/>
      <c r="BD41"/>
      <c r="BE41"/>
      <c r="BF41"/>
      <c r="BG41"/>
      <c r="BH41"/>
      <c r="BI41"/>
      <c r="BJ41"/>
      <c r="BK41"/>
      <c r="BL41"/>
      <c r="BM41"/>
      <c r="BN41"/>
      <c r="BO41"/>
      <c r="BP41"/>
      <c r="BQ41"/>
      <c r="BR41"/>
      <c r="BS41" s="14"/>
    </row>
    <row r="42" spans="1:71" x14ac:dyDescent="0.25">
      <c r="A42" s="1" t="str">
        <f>IF(A41&lt;'Project Information'!B$11,A41+1,"")</f>
        <v/>
      </c>
      <c r="B42" s="22">
        <v>0</v>
      </c>
      <c r="C42" s="22">
        <v>0</v>
      </c>
      <c r="D42" s="8">
        <f t="shared" si="2"/>
        <v>0</v>
      </c>
      <c r="H42" s="13"/>
      <c r="I42" s="178">
        <v>2046</v>
      </c>
      <c r="J42" s="238">
        <f>$AK$32*$B$12*'User Volumes'!G28</f>
        <v>1812675.9070142426</v>
      </c>
      <c r="K42" s="238">
        <f>$AL$32*$B$13*('User Volumes'!G28)</f>
        <v>240058.84446732909</v>
      </c>
      <c r="L42" s="247">
        <f>('User Volumes'!K28)*'Other Highway Use Externalities'!$D$13</f>
        <v>73293.893222179933</v>
      </c>
      <c r="M42" s="247">
        <f>$AC$45*$B$12*('User Volumes'!E28)</f>
        <v>121183.36894112277</v>
      </c>
      <c r="N42" s="247">
        <f>$AD$45*$B$13*('User Volumes'!E28)</f>
        <v>7349.4351401588083</v>
      </c>
      <c r="O42" s="247">
        <f>$AC$45*$B$12*'User Volumes'!D28</f>
        <v>346238.19697463652</v>
      </c>
      <c r="P42" s="247">
        <f>$AD$45*$B$13*'User Volumes'!D28</f>
        <v>20998.386114739453</v>
      </c>
      <c r="Q42" s="246"/>
      <c r="R42"/>
      <c r="S42" s="181">
        <v>2019</v>
      </c>
      <c r="T42" s="231">
        <v>244173000000</v>
      </c>
      <c r="U42" s="231" t="s">
        <v>438</v>
      </c>
      <c r="V42" s="231" t="s">
        <v>438</v>
      </c>
      <c r="W42" s="231" t="s">
        <v>438</v>
      </c>
      <c r="X42" s="231" t="s">
        <v>438</v>
      </c>
      <c r="Y42" s="231" t="s">
        <v>438</v>
      </c>
      <c r="Z42" s="231" t="s">
        <v>438</v>
      </c>
      <c r="AA42" s="183" t="s">
        <v>438</v>
      </c>
      <c r="AB42" s="183" t="s">
        <v>438</v>
      </c>
      <c r="AC42" s="42"/>
      <c r="AD42" s="42"/>
      <c r="AE42"/>
      <c r="AF42"/>
      <c r="AG42"/>
      <c r="AH42"/>
      <c r="AI42"/>
      <c r="AJ42"/>
      <c r="AK42"/>
      <c r="AL42"/>
      <c r="AM42"/>
      <c r="AN42"/>
      <c r="AW42"/>
      <c r="AX42"/>
      <c r="AY42"/>
      <c r="AZ42"/>
      <c r="BA42"/>
      <c r="BB42"/>
      <c r="BC42"/>
      <c r="BD42"/>
      <c r="BE42"/>
      <c r="BF42"/>
      <c r="BG42"/>
      <c r="BH42"/>
      <c r="BI42"/>
      <c r="BJ42"/>
      <c r="BK42"/>
      <c r="BL42"/>
      <c r="BM42"/>
      <c r="BN42"/>
      <c r="BO42"/>
      <c r="BP42"/>
      <c r="BQ42"/>
      <c r="BR42"/>
      <c r="BS42" s="14"/>
    </row>
    <row r="43" spans="1:71" x14ac:dyDescent="0.25">
      <c r="A43" s="1" t="str">
        <f>IF(A42&lt;'Project Information'!B$11,A42+1,"")</f>
        <v/>
      </c>
      <c r="B43" s="22">
        <v>0</v>
      </c>
      <c r="C43" s="22">
        <v>0</v>
      </c>
      <c r="D43" s="8">
        <f t="shared" si="2"/>
        <v>0</v>
      </c>
      <c r="H43" s="13"/>
      <c r="I43" s="178">
        <v>2047</v>
      </c>
      <c r="J43" s="238">
        <f>$AK$32*$B$12*'User Volumes'!G29</f>
        <v>1830802.6660843848</v>
      </c>
      <c r="K43" s="238">
        <f>$AL$32*$B$13*('User Volumes'!G29)</f>
        <v>242459.43291200235</v>
      </c>
      <c r="L43" s="247">
        <f>('User Volumes'!K29)*'Other Highway Use Externalities'!$D$13</f>
        <v>74026.832154401738</v>
      </c>
      <c r="M43" s="247">
        <f>$AC$45*$B$12*('User Volumes'!E29)</f>
        <v>122395.20263053398</v>
      </c>
      <c r="N43" s="247">
        <f>$AD$45*$B$13*('User Volumes'!E29)</f>
        <v>7422.929491560395</v>
      </c>
      <c r="O43" s="247">
        <f>$AC$45*$B$12*'User Volumes'!D29</f>
        <v>349700.57894438284</v>
      </c>
      <c r="P43" s="247">
        <f>$AD$45*$B$13*'User Volumes'!D29</f>
        <v>21208.369975886846</v>
      </c>
      <c r="Q43" s="246"/>
      <c r="R43"/>
      <c r="S43" s="181">
        <v>2020</v>
      </c>
      <c r="T43" s="285">
        <v>243215000000</v>
      </c>
      <c r="U43" s="231" t="s">
        <v>438</v>
      </c>
      <c r="V43" s="231" t="s">
        <v>438</v>
      </c>
      <c r="W43" s="231" t="s">
        <v>438</v>
      </c>
      <c r="X43" s="231" t="s">
        <v>438</v>
      </c>
      <c r="Y43" s="231" t="s">
        <v>438</v>
      </c>
      <c r="Z43" s="231" t="s">
        <v>438</v>
      </c>
      <c r="AA43" s="183" t="s">
        <v>438</v>
      </c>
      <c r="AB43" s="183" t="s">
        <v>438</v>
      </c>
      <c r="AC43" s="42"/>
      <c r="AD43" s="42"/>
      <c r="AE43"/>
      <c r="AF43"/>
      <c r="AG43"/>
      <c r="AH43"/>
      <c r="AI43"/>
      <c r="AJ43"/>
      <c r="AK43"/>
      <c r="AL43"/>
      <c r="AM43"/>
      <c r="AN43"/>
      <c r="AW43"/>
      <c r="AX43"/>
      <c r="AY43"/>
      <c r="AZ43"/>
      <c r="BA43"/>
      <c r="BB43"/>
      <c r="BC43"/>
      <c r="BD43"/>
      <c r="BE43"/>
      <c r="BF43"/>
      <c r="BG43"/>
      <c r="BH43"/>
      <c r="BI43"/>
      <c r="BJ43"/>
      <c r="BK43"/>
      <c r="BL43"/>
      <c r="BM43"/>
      <c r="BN43"/>
      <c r="BO43"/>
      <c r="BP43"/>
      <c r="BQ43"/>
      <c r="BR43"/>
      <c r="BS43" s="14"/>
    </row>
    <row r="44" spans="1:71" x14ac:dyDescent="0.25">
      <c r="A44" s="1" t="str">
        <f>IF(A43&lt;'Project Information'!B$11,A43+1,"")</f>
        <v/>
      </c>
      <c r="B44" s="22">
        <v>0</v>
      </c>
      <c r="C44" s="22">
        <v>0</v>
      </c>
      <c r="D44" s="8">
        <f t="shared" si="2"/>
        <v>0</v>
      </c>
      <c r="H44" s="13"/>
      <c r="I44"/>
      <c r="J44" s="252">
        <v>20900781</v>
      </c>
      <c r="K44" s="252">
        <v>2767962</v>
      </c>
      <c r="L44" s="252">
        <v>845104</v>
      </c>
      <c r="M44"/>
      <c r="N44"/>
      <c r="O44"/>
      <c r="P44"/>
      <c r="Q44"/>
      <c r="R44"/>
      <c r="S44" s="181">
        <v>2021</v>
      </c>
      <c r="T44" s="231" t="s">
        <v>438</v>
      </c>
      <c r="U44" s="231" t="s">
        <v>438</v>
      </c>
      <c r="V44" s="231" t="s">
        <v>438</v>
      </c>
      <c r="W44" s="231" t="s">
        <v>438</v>
      </c>
      <c r="X44" s="231" t="s">
        <v>438</v>
      </c>
      <c r="Y44" s="231" t="s">
        <v>438</v>
      </c>
      <c r="Z44" s="231" t="s">
        <v>438</v>
      </c>
      <c r="AA44" s="183" t="s">
        <v>438</v>
      </c>
      <c r="AB44" s="183" t="s">
        <v>438</v>
      </c>
      <c r="AC44" s="42"/>
      <c r="AD44" s="42"/>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s="14"/>
    </row>
    <row r="45" spans="1:71" x14ac:dyDescent="0.25">
      <c r="A45" s="1" t="str">
        <f>IF(A44&lt;'Project Information'!B$11,A44+1,"")</f>
        <v/>
      </c>
      <c r="B45" s="22">
        <v>0</v>
      </c>
      <c r="C45" s="22">
        <v>0</v>
      </c>
      <c r="D45" s="8">
        <f t="shared" si="2"/>
        <v>0</v>
      </c>
      <c r="H45" s="13"/>
      <c r="I45"/>
      <c r="J45"/>
      <c r="K45"/>
      <c r="L45"/>
      <c r="M45"/>
      <c r="N45"/>
      <c r="O45"/>
      <c r="P45"/>
      <c r="Q45"/>
      <c r="R45"/>
      <c r="S45" s="199" t="s">
        <v>444</v>
      </c>
      <c r="T45" s="199"/>
      <c r="U45" s="198"/>
      <c r="V45" s="198"/>
      <c r="W45" s="198"/>
      <c r="X45" s="198"/>
      <c r="Y45" s="198"/>
      <c r="Z45" s="198"/>
      <c r="AA45" s="233">
        <f>AVERAGE(AA25:AA29)</f>
        <v>6.2</v>
      </c>
      <c r="AB45" s="233">
        <f>AVERAGE(AB25:AB29)</f>
        <v>21.6</v>
      </c>
      <c r="AC45" s="239">
        <f>AA45/T43</f>
        <v>2.5491848775774521E-11</v>
      </c>
      <c r="AD45" s="239">
        <f>AB45/T43</f>
        <v>8.8810311863988657E-11</v>
      </c>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s="14"/>
    </row>
    <row r="46" spans="1:71" x14ac:dyDescent="0.25">
      <c r="A46" s="1" t="str">
        <f>IF(A45&lt;'Project Information'!B$11,A45+1,"")</f>
        <v/>
      </c>
      <c r="B46" s="22">
        <v>0</v>
      </c>
      <c r="C46" s="22">
        <v>0</v>
      </c>
      <c r="D46" s="8">
        <f t="shared" si="2"/>
        <v>0</v>
      </c>
      <c r="H46" s="13"/>
      <c r="I46"/>
      <c r="J46"/>
      <c r="K46"/>
      <c r="L46"/>
      <c r="M46"/>
      <c r="N46"/>
      <c r="O46"/>
      <c r="P46"/>
      <c r="Q46"/>
      <c r="R46"/>
      <c r="S46"/>
      <c r="T46"/>
      <c r="U46" s="194"/>
      <c r="V46" s="194"/>
      <c r="W46" s="194"/>
      <c r="X46" s="194"/>
      <c r="Y46" s="194"/>
      <c r="Z46" s="194"/>
      <c r="AA46" s="194"/>
      <c r="AB46" s="194"/>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s="14"/>
    </row>
    <row r="47" spans="1:71" x14ac:dyDescent="0.25">
      <c r="A47" s="1" t="str">
        <f>IF(A46&lt;'Project Information'!B$11,A46+1,"")</f>
        <v/>
      </c>
      <c r="B47" s="22">
        <v>0</v>
      </c>
      <c r="C47" s="22">
        <v>0</v>
      </c>
      <c r="D47" s="8">
        <f t="shared" si="2"/>
        <v>0</v>
      </c>
      <c r="H47" s="13"/>
      <c r="I47"/>
      <c r="J47"/>
      <c r="K47"/>
      <c r="L47"/>
      <c r="M47"/>
      <c r="N47"/>
      <c r="O47"/>
      <c r="P47"/>
      <c r="Q47"/>
      <c r="R47"/>
      <c r="S47" s="283" t="s">
        <v>445</v>
      </c>
      <c r="T47" s="194"/>
      <c r="U47" s="194"/>
      <c r="V47" s="194"/>
      <c r="W47" s="194"/>
      <c r="X47" s="194"/>
      <c r="Y47" s="194"/>
      <c r="Z47" s="194"/>
      <c r="AA47" s="194"/>
      <c r="AB47" s="194"/>
      <c r="AC47" s="194"/>
      <c r="AD47" s="194"/>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s="14"/>
    </row>
    <row r="48" spans="1:71" x14ac:dyDescent="0.25">
      <c r="A48" s="1" t="str">
        <f>IF(A47&lt;'Project Information'!B$11,A47+1,"")</f>
        <v/>
      </c>
      <c r="B48" s="22">
        <v>0</v>
      </c>
      <c r="C48" s="22">
        <v>0</v>
      </c>
      <c r="D48" s="8">
        <f t="shared" si="2"/>
        <v>0</v>
      </c>
      <c r="H48" s="13"/>
      <c r="I48"/>
      <c r="J48"/>
      <c r="K48"/>
      <c r="L48"/>
      <c r="M48"/>
      <c r="N48"/>
      <c r="O48"/>
      <c r="P48"/>
      <c r="Q48"/>
      <c r="R48"/>
      <c r="S48" s="232" t="s">
        <v>446</v>
      </c>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s="14"/>
    </row>
    <row r="49" spans="1:71" x14ac:dyDescent="0.25">
      <c r="A49" s="1" t="str">
        <f>IF(A48&lt;'Project Information'!B$11,A48+1,"")</f>
        <v/>
      </c>
      <c r="B49" s="22">
        <v>0</v>
      </c>
      <c r="C49" s="22">
        <v>0</v>
      </c>
      <c r="D49" s="8">
        <f t="shared" si="2"/>
        <v>0</v>
      </c>
      <c r="H49" s="13"/>
      <c r="I49"/>
      <c r="J49"/>
      <c r="K49"/>
      <c r="L49"/>
      <c r="M49"/>
      <c r="N49"/>
      <c r="O49"/>
      <c r="P49"/>
      <c r="Q49"/>
      <c r="R49"/>
      <c r="S49"/>
      <c r="T49" s="194"/>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s="14"/>
    </row>
    <row r="50" spans="1:71" x14ac:dyDescent="0.25">
      <c r="A50" s="1" t="str">
        <f>IF(A49&lt;'Project Information'!B$11,A49+1,"")</f>
        <v/>
      </c>
      <c r="B50" s="22">
        <v>0</v>
      </c>
      <c r="C50" s="22">
        <v>0</v>
      </c>
      <c r="D50" s="8">
        <f t="shared" si="2"/>
        <v>0</v>
      </c>
      <c r="H50" s="13"/>
      <c r="I50"/>
      <c r="J50"/>
      <c r="K50"/>
      <c r="L50"/>
      <c r="M50"/>
      <c r="N50"/>
      <c r="O50"/>
      <c r="P50"/>
      <c r="Q50"/>
      <c r="R50"/>
      <c r="S50"/>
      <c r="T50" s="194"/>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s="14"/>
    </row>
    <row r="51" spans="1:71" x14ac:dyDescent="0.25">
      <c r="A51" s="1" t="str">
        <f>IF(A50&lt;'Project Information'!B$11,A50+1,"")</f>
        <v/>
      </c>
      <c r="B51" s="22">
        <v>0</v>
      </c>
      <c r="C51" s="22">
        <v>0</v>
      </c>
      <c r="D51" s="9">
        <f t="shared" si="2"/>
        <v>0</v>
      </c>
      <c r="H51" s="13"/>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s="14"/>
    </row>
    <row r="52" spans="1:71" x14ac:dyDescent="0.25">
      <c r="A52" s="31"/>
      <c r="B52" s="32"/>
      <c r="C52" s="32"/>
      <c r="D52" s="29"/>
      <c r="H52" s="13"/>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s="14"/>
    </row>
    <row r="53" spans="1:71" x14ac:dyDescent="0.25">
      <c r="B53" s="28"/>
      <c r="C53" s="28"/>
      <c r="D53" s="29"/>
      <c r="H53" s="1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s="14"/>
    </row>
    <row r="54" spans="1:71" x14ac:dyDescent="0.25">
      <c r="B54" s="28"/>
      <c r="C54" s="28"/>
      <c r="D54" s="29"/>
      <c r="H54" s="13"/>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s="14"/>
    </row>
    <row r="55" spans="1:71" x14ac:dyDescent="0.25">
      <c r="B55" s="28"/>
      <c r="C55" s="28"/>
      <c r="D55" s="29"/>
      <c r="H55" s="13"/>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s="14"/>
    </row>
    <row r="56" spans="1:71" x14ac:dyDescent="0.25">
      <c r="B56" s="28"/>
      <c r="C56" s="28"/>
      <c r="D56" s="29"/>
      <c r="H56" s="13"/>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s="14"/>
    </row>
    <row r="57" spans="1:71" x14ac:dyDescent="0.25">
      <c r="B57" s="28"/>
      <c r="C57" s="28"/>
      <c r="D57" s="29"/>
      <c r="H57" s="13"/>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s="14"/>
    </row>
    <row r="58" spans="1:71" x14ac:dyDescent="0.25">
      <c r="B58" s="28"/>
      <c r="C58" s="28"/>
      <c r="D58" s="29"/>
      <c r="H58" s="13"/>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s="14"/>
    </row>
    <row r="59" spans="1:71" x14ac:dyDescent="0.25">
      <c r="B59" s="28"/>
      <c r="C59" s="28"/>
      <c r="D59" s="29"/>
      <c r="H59" s="13"/>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s="14"/>
    </row>
    <row r="60" spans="1:71" x14ac:dyDescent="0.25">
      <c r="B60" s="28"/>
      <c r="C60" s="28"/>
      <c r="D60" s="29"/>
      <c r="H60" s="13"/>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s="14"/>
    </row>
    <row r="61" spans="1:71" x14ac:dyDescent="0.25">
      <c r="B61" s="28"/>
      <c r="C61" s="28"/>
      <c r="D61" s="29"/>
      <c r="H61" s="13"/>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s="14"/>
    </row>
    <row r="62" spans="1:71" x14ac:dyDescent="0.25">
      <c r="H62" s="13"/>
      <c r="I62"/>
      <c r="J62"/>
      <c r="K62"/>
      <c r="L62"/>
      <c r="M62"/>
      <c r="N62"/>
      <c r="O62"/>
      <c r="P62"/>
      <c r="Q62"/>
      <c r="R62"/>
      <c r="S62"/>
      <c r="T62"/>
      <c r="U62"/>
      <c r="V62"/>
      <c r="W62"/>
      <c r="X62"/>
      <c r="Y62"/>
      <c r="Z62"/>
      <c r="AA62"/>
      <c r="AB62"/>
      <c r="AC62" s="194"/>
      <c r="AD62" s="194"/>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s="14"/>
    </row>
    <row r="63" spans="1:71" x14ac:dyDescent="0.25">
      <c r="H63" s="13"/>
      <c r="I63"/>
      <c r="J63"/>
      <c r="K63"/>
      <c r="L63"/>
      <c r="M63"/>
      <c r="N63"/>
      <c r="O63"/>
      <c r="P63"/>
      <c r="Q63"/>
      <c r="R63"/>
      <c r="S63"/>
      <c r="T63"/>
      <c r="U63"/>
      <c r="V63"/>
      <c r="W63"/>
      <c r="X63"/>
      <c r="Y63"/>
      <c r="Z63"/>
      <c r="AA63"/>
      <c r="AB63"/>
      <c r="AC63" s="194"/>
      <c r="AD63" s="194"/>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s="14"/>
    </row>
    <row r="64" spans="1:71" x14ac:dyDescent="0.25">
      <c r="H64" s="13"/>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s="14"/>
    </row>
    <row r="65" spans="8:71" x14ac:dyDescent="0.25">
      <c r="H65" s="13"/>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s="14"/>
    </row>
    <row r="66" spans="8:71" x14ac:dyDescent="0.25">
      <c r="H66" s="13"/>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s="14"/>
    </row>
    <row r="67" spans="8:71" x14ac:dyDescent="0.25">
      <c r="H67" s="13"/>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s="14"/>
    </row>
    <row r="68" spans="8:71" x14ac:dyDescent="0.25">
      <c r="H68" s="13"/>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s="14"/>
    </row>
    <row r="69" spans="8:71" x14ac:dyDescent="0.25">
      <c r="H69" s="13"/>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s="14"/>
    </row>
    <row r="70" spans="8:71" x14ac:dyDescent="0.25">
      <c r="H70" s="13"/>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s="14"/>
    </row>
    <row r="71" spans="8:71" x14ac:dyDescent="0.25">
      <c r="H71" s="13"/>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s="14"/>
    </row>
    <row r="72" spans="8:71" x14ac:dyDescent="0.25">
      <c r="H72" s="13"/>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s="14"/>
    </row>
    <row r="73" spans="8:71" x14ac:dyDescent="0.25">
      <c r="H73" s="1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s="14"/>
    </row>
    <row r="74" spans="8:71" x14ac:dyDescent="0.25">
      <c r="H74" s="13"/>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s="14"/>
    </row>
    <row r="75" spans="8:71" x14ac:dyDescent="0.25">
      <c r="H75" s="13"/>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s="14"/>
    </row>
    <row r="76" spans="8:71" x14ac:dyDescent="0.25">
      <c r="H76" s="13"/>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s="14"/>
    </row>
    <row r="77" spans="8:71" x14ac:dyDescent="0.25">
      <c r="H77" s="13"/>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s="14"/>
    </row>
    <row r="78" spans="8:71" x14ac:dyDescent="0.25">
      <c r="H78" s="13"/>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s="14"/>
    </row>
    <row r="79" spans="8:71" x14ac:dyDescent="0.25">
      <c r="H79" s="13"/>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s="14"/>
    </row>
    <row r="80" spans="8:71" x14ac:dyDescent="0.25">
      <c r="H80" s="13"/>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s="14"/>
    </row>
    <row r="81" spans="8:71" x14ac:dyDescent="0.25">
      <c r="H81" s="13"/>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s="14"/>
    </row>
    <row r="82" spans="8:71" x14ac:dyDescent="0.25">
      <c r="H82" s="13"/>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s="14"/>
    </row>
    <row r="83" spans="8:71" x14ac:dyDescent="0.25">
      <c r="H83" s="1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s="14"/>
    </row>
    <row r="84" spans="8:71" x14ac:dyDescent="0.25">
      <c r="H84" s="13"/>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s="14"/>
    </row>
    <row r="85" spans="8:71" x14ac:dyDescent="0.25">
      <c r="H85" s="13"/>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s="14"/>
    </row>
    <row r="86" spans="8:71" x14ac:dyDescent="0.25">
      <c r="H86" s="13"/>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s="14"/>
    </row>
    <row r="87" spans="8:71" x14ac:dyDescent="0.25">
      <c r="H87" s="13"/>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s="14"/>
    </row>
    <row r="88" spans="8:71" x14ac:dyDescent="0.25">
      <c r="H88" s="13"/>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s="14"/>
    </row>
    <row r="89" spans="8:71" x14ac:dyDescent="0.25">
      <c r="H89" s="13"/>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s="14"/>
    </row>
    <row r="90" spans="8:71" x14ac:dyDescent="0.25">
      <c r="H90" s="13"/>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s="14"/>
    </row>
    <row r="91" spans="8:71" x14ac:dyDescent="0.25">
      <c r="H91" s="13"/>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s="14"/>
    </row>
    <row r="92" spans="8:71" x14ac:dyDescent="0.25">
      <c r="H92" s="13"/>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s="14"/>
    </row>
    <row r="93" spans="8:71" x14ac:dyDescent="0.25">
      <c r="H93" s="1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s="14"/>
    </row>
    <row r="94" spans="8:71" x14ac:dyDescent="0.25">
      <c r="H94" s="13"/>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s="14"/>
    </row>
    <row r="95" spans="8:71" x14ac:dyDescent="0.25">
      <c r="H95" s="13"/>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s="14"/>
    </row>
    <row r="96" spans="8:71" x14ac:dyDescent="0.25">
      <c r="H96" s="13"/>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s="14"/>
    </row>
    <row r="97" spans="8:71" x14ac:dyDescent="0.25">
      <c r="H97" s="13"/>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s="14"/>
    </row>
    <row r="98" spans="8:71" x14ac:dyDescent="0.25">
      <c r="H98" s="13"/>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s="14"/>
    </row>
    <row r="99" spans="8:71" x14ac:dyDescent="0.25">
      <c r="H99" s="13"/>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s="14"/>
    </row>
    <row r="100" spans="8:71" x14ac:dyDescent="0.25">
      <c r="H100" s="13"/>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s="14"/>
    </row>
    <row r="101" spans="8:71" x14ac:dyDescent="0.25">
      <c r="H101" s="13"/>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s="14"/>
    </row>
    <row r="102" spans="8:71" x14ac:dyDescent="0.25">
      <c r="H102" s="13"/>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s="14"/>
    </row>
    <row r="103" spans="8:71" x14ac:dyDescent="0.25">
      <c r="H103" s="1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s="14"/>
    </row>
    <row r="104" spans="8:71" x14ac:dyDescent="0.25">
      <c r="H104" s="13"/>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s="14"/>
    </row>
    <row r="105" spans="8:71" x14ac:dyDescent="0.25">
      <c r="H105" s="13"/>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s="14"/>
    </row>
    <row r="106" spans="8:71" x14ac:dyDescent="0.25">
      <c r="H106" s="13"/>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s="14"/>
    </row>
    <row r="107" spans="8:71" x14ac:dyDescent="0.25">
      <c r="H107" s="13"/>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s="14"/>
    </row>
    <row r="108" spans="8:71" x14ac:dyDescent="0.25">
      <c r="H108" s="13"/>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s="14"/>
    </row>
    <row r="109" spans="8:71" ht="15.75" thickBot="1" x14ac:dyDescent="0.3">
      <c r="H109" s="13"/>
      <c r="I109"/>
      <c r="J109"/>
      <c r="K109"/>
      <c r="L109"/>
      <c r="M109"/>
      <c r="N109"/>
      <c r="O109"/>
      <c r="P109"/>
      <c r="Q109"/>
      <c r="R109"/>
      <c r="S109"/>
      <c r="T109"/>
      <c r="U109"/>
      <c r="V109"/>
      <c r="W109"/>
      <c r="X109"/>
      <c r="Y109"/>
      <c r="Z109"/>
      <c r="AA109"/>
      <c r="AB109"/>
      <c r="AC109"/>
      <c r="AD109"/>
      <c r="AE109"/>
      <c r="AF109"/>
      <c r="AG109" s="16"/>
      <c r="AH109" s="16"/>
      <c r="AI109" s="16"/>
      <c r="AJ109" s="16"/>
      <c r="AK109" s="16"/>
      <c r="AL109" s="16"/>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s="14"/>
    </row>
    <row r="110" spans="8:71" x14ac:dyDescent="0.25">
      <c r="H110" s="13"/>
      <c r="I110"/>
      <c r="J110"/>
      <c r="K110"/>
      <c r="L110"/>
      <c r="M110"/>
      <c r="N110"/>
      <c r="O110"/>
      <c r="P110"/>
      <c r="Q110"/>
      <c r="R110"/>
      <c r="S110"/>
      <c r="T110"/>
      <c r="U110"/>
      <c r="V110"/>
      <c r="W110"/>
      <c r="X110"/>
      <c r="Y110"/>
      <c r="Z110"/>
      <c r="AA110"/>
      <c r="AB110"/>
      <c r="AC110"/>
      <c r="AD110"/>
      <c r="AE110"/>
      <c r="AF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s="14"/>
    </row>
    <row r="111" spans="8:71" ht="15.75" thickBot="1" x14ac:dyDescent="0.3">
      <c r="H111" s="15"/>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7"/>
    </row>
  </sheetData>
  <mergeCells count="11">
    <mergeCell ref="AQ23:AT23"/>
    <mergeCell ref="U23:V23"/>
    <mergeCell ref="W23:X23"/>
    <mergeCell ref="Y23:Z23"/>
    <mergeCell ref="AA23:AB23"/>
    <mergeCell ref="AC23:AD23"/>
    <mergeCell ref="J22:N22"/>
    <mergeCell ref="O22:P22"/>
    <mergeCell ref="S23:T23"/>
    <mergeCell ref="AG23:AH23"/>
    <mergeCell ref="AI23:AL23"/>
  </mergeCells>
  <conditionalFormatting sqref="B22:B51">
    <cfRule type="expression" dxfId="16" priority="2">
      <formula>A22=""</formula>
    </cfRule>
  </conditionalFormatting>
  <conditionalFormatting sqref="C22:C51">
    <cfRule type="expression" dxfId="15" priority="1">
      <formula>A22=""</formula>
    </cfRule>
  </conditionalFormatting>
  <hyperlinks>
    <hyperlink ref="S47" r:id="rId1" xr:uid="{B56FE3B2-ACDB-4B00-A223-168D0617EDD3}"/>
    <hyperlink ref="AG36" r:id="rId2" xr:uid="{9C78BD89-B773-4B79-8CDE-14D4B333CBFC}"/>
    <hyperlink ref="AG34" r:id="rId3" xr:uid="{E66CA4FD-9B00-466F-8696-4C476355F306}"/>
  </hyperlinks>
  <pageMargins left="0.7" right="0.7" top="0.75" bottom="0.75" header="0.3" footer="0.3"/>
  <pageSetup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464A-8D12-4AB5-8A49-F5EA91C50422}">
  <sheetPr>
    <tabColor theme="9" tint="0.39997558519241921"/>
  </sheetPr>
  <dimension ref="A1:BB109"/>
  <sheetViews>
    <sheetView workbookViewId="0"/>
  </sheetViews>
  <sheetFormatPr defaultColWidth="9.140625" defaultRowHeight="15" x14ac:dyDescent="0.25"/>
  <cols>
    <col min="1" max="1" width="28.5703125" style="5" customWidth="1"/>
    <col min="2" max="2" width="27.42578125" style="5" customWidth="1"/>
    <col min="3" max="3" width="28.85546875" style="5" customWidth="1"/>
    <col min="4" max="4" width="30.85546875" style="5" customWidth="1"/>
    <col min="5" max="16384" width="9.140625" style="5"/>
  </cols>
  <sheetData>
    <row r="1" spans="1:10" ht="20.25" thickBot="1" x14ac:dyDescent="0.35">
      <c r="A1" s="95" t="s">
        <v>3</v>
      </c>
    </row>
    <row r="2" spans="1:10" ht="15.75" thickTop="1" x14ac:dyDescent="0.25">
      <c r="A2" s="151" t="s">
        <v>414</v>
      </c>
      <c r="B2" s="151"/>
      <c r="C2" s="151"/>
      <c r="D2" s="151"/>
      <c r="E2" s="151"/>
      <c r="F2" s="151"/>
      <c r="G2" s="151"/>
    </row>
    <row r="3" spans="1:10" x14ac:dyDescent="0.25">
      <c r="A3" s="5" t="s">
        <v>30</v>
      </c>
    </row>
    <row r="4" spans="1:10" x14ac:dyDescent="0.25">
      <c r="A4" s="152" t="s">
        <v>399</v>
      </c>
      <c r="B4" s="151"/>
      <c r="C4" s="151"/>
      <c r="D4" s="151"/>
      <c r="E4" s="151"/>
      <c r="F4" s="151"/>
      <c r="G4" s="151"/>
      <c r="H4" s="151"/>
      <c r="I4" s="151"/>
      <c r="J4" s="151"/>
    </row>
    <row r="5" spans="1:10" x14ac:dyDescent="0.25">
      <c r="A5" s="38" t="s">
        <v>30</v>
      </c>
    </row>
    <row r="6" spans="1:10" x14ac:dyDescent="0.25">
      <c r="A6" s="96" t="s">
        <v>415</v>
      </c>
    </row>
    <row r="7" spans="1:10" x14ac:dyDescent="0.25">
      <c r="A7" s="115" t="s">
        <v>62</v>
      </c>
      <c r="B7" s="115" t="s">
        <v>447</v>
      </c>
    </row>
    <row r="8" spans="1:10" x14ac:dyDescent="0.25">
      <c r="A8" s="35" t="s">
        <v>448</v>
      </c>
      <c r="B8" s="39">
        <f>'Parameter Values'!B24</f>
        <v>17.899999999999999</v>
      </c>
    </row>
    <row r="9" spans="1:10" x14ac:dyDescent="0.25">
      <c r="A9" s="35" t="s">
        <v>449</v>
      </c>
      <c r="B9" s="39">
        <f>'Parameter Values'!B25</f>
        <v>32.299999999999997</v>
      </c>
    </row>
    <row r="10" spans="1:10" x14ac:dyDescent="0.25">
      <c r="A10" s="35" t="s">
        <v>450</v>
      </c>
      <c r="B10" s="39">
        <f>'Parameter Values'!B26</f>
        <v>19.600000000000001</v>
      </c>
    </row>
    <row r="11" spans="1:10" ht="30" x14ac:dyDescent="0.25">
      <c r="A11" s="35" t="s">
        <v>451</v>
      </c>
      <c r="B11" s="39">
        <f>'Parameter Values'!B28</f>
        <v>35.799999999999997</v>
      </c>
    </row>
    <row r="12" spans="1:10" x14ac:dyDescent="0.25">
      <c r="A12" s="35" t="s">
        <v>452</v>
      </c>
      <c r="B12" s="39"/>
    </row>
    <row r="13" spans="1:10" x14ac:dyDescent="0.25">
      <c r="A13" s="35" t="s">
        <v>70</v>
      </c>
      <c r="B13" s="39">
        <f>'Parameter Values'!B31</f>
        <v>33.5</v>
      </c>
    </row>
    <row r="14" spans="1:10" x14ac:dyDescent="0.25">
      <c r="A14" s="35" t="s">
        <v>71</v>
      </c>
      <c r="B14" s="39">
        <f>'Parameter Values'!B32</f>
        <v>36.5</v>
      </c>
    </row>
    <row r="15" spans="1:10" x14ac:dyDescent="0.25">
      <c r="A15" s="35" t="s">
        <v>72</v>
      </c>
      <c r="B15" s="39">
        <f>'Parameter Values'!B33</f>
        <v>63.3</v>
      </c>
    </row>
    <row r="16" spans="1:10" x14ac:dyDescent="0.25">
      <c r="A16" s="35" t="s">
        <v>73</v>
      </c>
      <c r="B16" s="39">
        <f>'Parameter Values'!B34</f>
        <v>53.5</v>
      </c>
    </row>
    <row r="17" spans="1:54" x14ac:dyDescent="0.25">
      <c r="A17" s="38" t="s">
        <v>30</v>
      </c>
    </row>
    <row r="18" spans="1:54" ht="15.75" thickBot="1" x14ac:dyDescent="0.3">
      <c r="A18" s="96" t="s">
        <v>453</v>
      </c>
    </row>
    <row r="19" spans="1:54" x14ac:dyDescent="0.25">
      <c r="A19" s="106" t="s">
        <v>239</v>
      </c>
      <c r="B19" s="107" t="s">
        <v>454</v>
      </c>
      <c r="C19" s="107" t="s">
        <v>455</v>
      </c>
      <c r="D19" s="113" t="s">
        <v>456</v>
      </c>
      <c r="G19" s="10" t="s">
        <v>238</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1:54" x14ac:dyDescent="0.25">
      <c r="A20" s="6">
        <f>'Project Information'!$B$9</f>
        <v>2028</v>
      </c>
      <c r="B20" s="22">
        <v>0</v>
      </c>
      <c r="C20" s="22">
        <v>0</v>
      </c>
      <c r="D20" s="26">
        <f>B20-C20</f>
        <v>0</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25">
      <c r="A21" s="1">
        <f>IF(A20&lt;'Project Information'!B$11,A20+1,"")</f>
        <v>2029</v>
      </c>
      <c r="B21" s="22">
        <v>0</v>
      </c>
      <c r="C21" s="22">
        <v>0</v>
      </c>
      <c r="D21" s="8">
        <f t="shared" ref="D21:D49" si="0">B21-C21</f>
        <v>0</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25">
      <c r="A22" s="1">
        <f>IF(A21&lt;'Project Information'!B$11,A21+1,"")</f>
        <v>2030</v>
      </c>
      <c r="B22" s="22">
        <v>0</v>
      </c>
      <c r="C22" s="22">
        <v>0</v>
      </c>
      <c r="D22" s="8">
        <f t="shared" si="0"/>
        <v>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5">
      <c r="A23" s="1">
        <f>IF(A22&lt;'Project Information'!B$11,A22+1,"")</f>
        <v>2031</v>
      </c>
      <c r="B23" s="22">
        <v>0</v>
      </c>
      <c r="C23" s="22">
        <v>0</v>
      </c>
      <c r="D23" s="8">
        <f t="shared" si="0"/>
        <v>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5">
      <c r="A24" s="1">
        <f>IF(A23&lt;'Project Information'!B$11,A23+1,"")</f>
        <v>2032</v>
      </c>
      <c r="B24" s="22">
        <v>0</v>
      </c>
      <c r="C24" s="22">
        <v>0</v>
      </c>
      <c r="D24" s="8">
        <f t="shared" si="0"/>
        <v>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5">
      <c r="A25" s="1">
        <f>IF(A24&lt;'Project Information'!B$11,A24+1,"")</f>
        <v>2033</v>
      </c>
      <c r="B25" s="22">
        <v>0</v>
      </c>
      <c r="C25" s="22">
        <v>0</v>
      </c>
      <c r="D25" s="8">
        <f t="shared" si="0"/>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5">
      <c r="A26" s="1">
        <f>IF(A25&lt;'Project Information'!B$11,A25+1,"")</f>
        <v>2034</v>
      </c>
      <c r="B26" s="22">
        <v>0</v>
      </c>
      <c r="C26" s="22">
        <v>0</v>
      </c>
      <c r="D26" s="8">
        <f t="shared" si="0"/>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2035</v>
      </c>
      <c r="B27" s="22">
        <v>0</v>
      </c>
      <c r="C27" s="22">
        <v>0</v>
      </c>
      <c r="D27" s="8">
        <f t="shared" si="0"/>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f>IF(A27&lt;'Project Information'!B$11,A27+1,"")</f>
        <v>2036</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f>IF(A28&lt;'Project Information'!B$11,A28+1,"")</f>
        <v>2037</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f>IF(A29&lt;'Project Information'!B$11,A29+1,"")</f>
        <v>2038</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f>IF(A30&lt;'Project Information'!B$11,A30+1,"")</f>
        <v>2039</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f>IF(A31&lt;'Project Information'!B$11,A31+1,"")</f>
        <v>2040</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f>IF(A32&lt;'Project Information'!B$11,A32+1,"")</f>
        <v>2041</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f>IF(A33&lt;'Project Information'!B$11,A33+1,"")</f>
        <v>2042</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f>IF(A34&lt;'Project Information'!B$11,A34+1,"")</f>
        <v>2043</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f>IF(A35&lt;'Project Information'!B$11,A35+1,"")</f>
        <v>2044</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f>IF(A36&lt;'Project Information'!B$11,A36+1,"")</f>
        <v>2045</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1">
        <f>IF(A37&lt;'Project Information'!B$11,A37+1,"")</f>
        <v>2046</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A39" s="1">
        <f>IF(A38&lt;'Project Information'!B$11,A38+1,"")</f>
        <v>2047</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A40" s="1" t="str">
        <f>IF(A39&lt;'Project Information'!B$11,A39+1,"")</f>
        <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A41" s="1" t="str">
        <f>IF(A40&lt;'Project Information'!B$11,A40+1,"")</f>
        <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A42" s="1" t="str">
        <f>IF(A41&lt;'Project Information'!B$11,A41+1,"")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A43" s="1" t="str">
        <f>IF(A42&lt;'Project Information'!B$11,A42+1,"")</f>
        <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A45" s="1" t="str">
        <f>IF(A44&lt;'Project Information'!B$11,A44+1,"")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5">
      <c r="A49" s="1" t="str">
        <f>IF(A48&lt;'Project Information'!B$11,A48+1,"")</f>
        <v/>
      </c>
      <c r="B49" s="22">
        <v>0</v>
      </c>
      <c r="C49" s="22">
        <v>0</v>
      </c>
      <c r="D49" s="9">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5">
      <c r="A50" s="31"/>
      <c r="B50" s="32"/>
      <c r="C50" s="32"/>
      <c r="D50" s="29"/>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5">
      <c r="B51" s="28"/>
      <c r="C51" s="28"/>
      <c r="D51" s="29"/>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5">
      <c r="B52" s="28"/>
      <c r="C52" s="28"/>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5">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5">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5">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5">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5">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ht="15.75" thickBot="1" x14ac:dyDescent="0.3">
      <c r="G109" s="15"/>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7"/>
    </row>
  </sheetData>
  <conditionalFormatting sqref="B20:B49">
    <cfRule type="expression" dxfId="14" priority="2">
      <formula>A20=""</formula>
    </cfRule>
  </conditionalFormatting>
  <conditionalFormatting sqref="C20:C49">
    <cfRule type="expression" dxfId="13" priority="1">
      <formula>A20=""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D953-AF08-43EF-9881-0B9B5BDB7205}">
  <sheetPr>
    <tabColor theme="9" tint="0.39997558519241921"/>
  </sheetPr>
  <dimension ref="A1:BB115"/>
  <sheetViews>
    <sheetView workbookViewId="0"/>
  </sheetViews>
  <sheetFormatPr defaultColWidth="9.140625" defaultRowHeight="15" x14ac:dyDescent="0.25"/>
  <cols>
    <col min="1" max="1" width="28.5703125" style="5" customWidth="1"/>
    <col min="2" max="2" width="35.140625" style="5" customWidth="1"/>
    <col min="3" max="3" width="30.7109375" style="5" customWidth="1"/>
    <col min="4" max="4" width="29.140625" style="5" customWidth="1"/>
    <col min="5" max="16384" width="9.140625" style="5"/>
  </cols>
  <sheetData>
    <row r="1" spans="1:9" ht="20.25" thickBot="1" x14ac:dyDescent="0.35">
      <c r="A1" s="95" t="s">
        <v>457</v>
      </c>
    </row>
    <row r="2" spans="1:9" ht="15.75" thickTop="1" x14ac:dyDescent="0.25">
      <c r="A2" s="151" t="s">
        <v>414</v>
      </c>
      <c r="B2" s="151"/>
      <c r="C2" s="151"/>
      <c r="D2" s="151"/>
      <c r="E2" s="151"/>
      <c r="F2" s="151"/>
    </row>
    <row r="3" spans="1:9" x14ac:dyDescent="0.25">
      <c r="A3" s="5" t="s">
        <v>30</v>
      </c>
    </row>
    <row r="4" spans="1:9" x14ac:dyDescent="0.25">
      <c r="A4" s="152" t="s">
        <v>399</v>
      </c>
      <c r="B4" s="151"/>
      <c r="C4" s="151"/>
      <c r="D4" s="151"/>
      <c r="E4" s="151"/>
      <c r="F4" s="151"/>
      <c r="G4" s="151"/>
      <c r="H4" s="151"/>
      <c r="I4" s="151"/>
    </row>
    <row r="5" spans="1:9" x14ac:dyDescent="0.25">
      <c r="A5" s="38" t="s">
        <v>30</v>
      </c>
    </row>
    <row r="6" spans="1:9" x14ac:dyDescent="0.25">
      <c r="A6" s="96" t="s">
        <v>415</v>
      </c>
    </row>
    <row r="7" spans="1:9" ht="30" x14ac:dyDescent="0.25">
      <c r="A7" s="115" t="s">
        <v>80</v>
      </c>
      <c r="B7" s="115" t="s">
        <v>88</v>
      </c>
    </row>
    <row r="8" spans="1:9" x14ac:dyDescent="0.25">
      <c r="A8" s="35" t="s">
        <v>458</v>
      </c>
      <c r="B8" s="41">
        <f>'Parameter Values'!B53</f>
        <v>0.52</v>
      </c>
    </row>
    <row r="9" spans="1:9" x14ac:dyDescent="0.25">
      <c r="A9" s="35" t="s">
        <v>459</v>
      </c>
      <c r="B9" s="41">
        <f>'Parameter Values'!B54</f>
        <v>1.32</v>
      </c>
    </row>
    <row r="10" spans="1:9" ht="30" x14ac:dyDescent="0.25">
      <c r="A10" s="115" t="s">
        <v>95</v>
      </c>
      <c r="B10" s="115" t="s">
        <v>94</v>
      </c>
    </row>
    <row r="11" spans="1:9" x14ac:dyDescent="0.25">
      <c r="A11" s="130" t="s">
        <v>99</v>
      </c>
      <c r="B11" s="131" t="s">
        <v>460</v>
      </c>
    </row>
    <row r="12" spans="1:9" x14ac:dyDescent="0.25">
      <c r="A12" s="35" t="s">
        <v>100</v>
      </c>
      <c r="B12" s="132">
        <f>'Parameter Values'!B63</f>
        <v>273</v>
      </c>
    </row>
    <row r="13" spans="1:9" x14ac:dyDescent="0.25">
      <c r="A13" s="35" t="s">
        <v>101</v>
      </c>
      <c r="B13" s="132">
        <f>'Parameter Values'!B64</f>
        <v>299</v>
      </c>
    </row>
    <row r="14" spans="1:9" x14ac:dyDescent="0.25">
      <c r="A14" s="35" t="s">
        <v>102</v>
      </c>
      <c r="B14" s="132">
        <f>'Parameter Values'!B65</f>
        <v>747</v>
      </c>
    </row>
    <row r="15" spans="1:9" x14ac:dyDescent="0.25">
      <c r="A15" s="35" t="s">
        <v>103</v>
      </c>
      <c r="B15" s="132">
        <f>'Parameter Values'!B66</f>
        <v>331</v>
      </c>
    </row>
    <row r="16" spans="1:9" x14ac:dyDescent="0.25">
      <c r="A16" s="130" t="s">
        <v>104</v>
      </c>
      <c r="B16" s="131" t="s">
        <v>460</v>
      </c>
    </row>
    <row r="17" spans="1:54" x14ac:dyDescent="0.25">
      <c r="A17" s="35" t="s">
        <v>100</v>
      </c>
      <c r="B17" s="132">
        <f>'Parameter Values'!B68</f>
        <v>799</v>
      </c>
    </row>
    <row r="18" spans="1:54" x14ac:dyDescent="0.25">
      <c r="A18" s="35" t="s">
        <v>101</v>
      </c>
      <c r="B18" s="132">
        <f>'Parameter Values'!B69</f>
        <v>778</v>
      </c>
    </row>
    <row r="19" spans="1:54" x14ac:dyDescent="0.25">
      <c r="A19" s="35" t="s">
        <v>102</v>
      </c>
      <c r="B19" s="132">
        <f>'Parameter Values'!B70</f>
        <v>1226</v>
      </c>
    </row>
    <row r="20" spans="1:54" x14ac:dyDescent="0.25">
      <c r="A20" s="35" t="s">
        <v>103</v>
      </c>
      <c r="B20" s="132">
        <f>'Parameter Values'!B71</f>
        <v>810</v>
      </c>
    </row>
    <row r="21" spans="1:54" x14ac:dyDescent="0.25">
      <c r="A21" s="130" t="s">
        <v>105</v>
      </c>
      <c r="B21" s="131" t="s">
        <v>460</v>
      </c>
    </row>
    <row r="22" spans="1:54" x14ac:dyDescent="0.25">
      <c r="A22" s="35" t="s">
        <v>106</v>
      </c>
      <c r="B22" s="41">
        <f>'Parameter Values'!B73</f>
        <v>1.03</v>
      </c>
    </row>
    <row r="23" spans="1:54" x14ac:dyDescent="0.25">
      <c r="A23" s="38" t="s">
        <v>30</v>
      </c>
      <c r="B23" s="38"/>
    </row>
    <row r="24" spans="1:54" ht="15.75" thickBot="1" x14ac:dyDescent="0.3">
      <c r="A24" s="96" t="s">
        <v>461</v>
      </c>
    </row>
    <row r="25" spans="1:54" x14ac:dyDescent="0.25">
      <c r="A25" s="106" t="s">
        <v>239</v>
      </c>
      <c r="B25" s="107" t="s">
        <v>462</v>
      </c>
      <c r="C25" s="107" t="s">
        <v>463</v>
      </c>
      <c r="D25" s="113" t="s">
        <v>4</v>
      </c>
      <c r="G25" s="10" t="s">
        <v>238</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2"/>
    </row>
    <row r="26" spans="1:54" x14ac:dyDescent="0.25">
      <c r="A26" s="6">
        <f>'Project Information'!$B$9</f>
        <v>2028</v>
      </c>
      <c r="B26" s="22">
        <v>0</v>
      </c>
      <c r="C26" s="22">
        <v>0</v>
      </c>
      <c r="D26" s="26">
        <f>B26-C26</f>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2029</v>
      </c>
      <c r="B27" s="22">
        <v>0</v>
      </c>
      <c r="C27" s="22">
        <v>0</v>
      </c>
      <c r="D27" s="8">
        <f t="shared" ref="D27:D55" si="0">B27-C27</f>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f>IF(A27&lt;'Project Information'!B$11,A27+1,"")</f>
        <v>2030</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f>IF(A28&lt;'Project Information'!B$11,A28+1,"")</f>
        <v>2031</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f>IF(A29&lt;'Project Information'!B$11,A29+1,"")</f>
        <v>2032</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f>IF(A30&lt;'Project Information'!B$11,A30+1,"")</f>
        <v>2033</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f>IF(A31&lt;'Project Information'!B$11,A31+1,"")</f>
        <v>2034</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f>IF(A32&lt;'Project Information'!B$11,A32+1,"")</f>
        <v>2035</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f>IF(A33&lt;'Project Information'!B$11,A33+1,"")</f>
        <v>2036</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f>IF(A34&lt;'Project Information'!B$11,A34+1,"")</f>
        <v>2037</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f>IF(A35&lt;'Project Information'!B$11,A35+1,"")</f>
        <v>2038</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f>IF(A36&lt;'Project Information'!B$11,A36+1,"")</f>
        <v>2039</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1">
        <f>IF(A37&lt;'Project Information'!B$11,A37+1,"")</f>
        <v>2040</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A39" s="1">
        <f>IF(A38&lt;'Project Information'!B$11,A38+1,"")</f>
        <v>2041</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A40" s="1">
        <f>IF(A39&lt;'Project Information'!B$11,A39+1,"")</f>
        <v>2042</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A41" s="1">
        <f>IF(A40&lt;'Project Information'!B$11,A40+1,"")</f>
        <v>2043</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A42" s="1">
        <f>IF(A41&lt;'Project Information'!B$11,A41+1,"")</f>
        <v>2044</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A43" s="1">
        <f>IF(A42&lt;'Project Information'!B$11,A42+1,"")</f>
        <v>2045</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A44" s="1">
        <f>IF(A43&lt;'Project Information'!B$11,A43+1,"")</f>
        <v>2046</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A45" s="1">
        <f>IF(A44&lt;'Project Information'!B$11,A44+1,"")</f>
        <v>2047</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5">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5">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5">
      <c r="A51" s="1" t="str">
        <f>IF(A50&lt;'Project Information'!B$11,A50+1,"")</f>
        <v/>
      </c>
      <c r="B51" s="22">
        <v>0</v>
      </c>
      <c r="C51" s="22">
        <v>0</v>
      </c>
      <c r="D51" s="8">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5">
      <c r="A52" s="1" t="str">
        <f>IF(A51&lt;'Project Information'!B$11,A51+1,"")</f>
        <v/>
      </c>
      <c r="B52" s="22">
        <v>0</v>
      </c>
      <c r="C52" s="22">
        <v>0</v>
      </c>
      <c r="D52" s="8">
        <f t="shared" si="0"/>
        <v>0</v>
      </c>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5">
      <c r="A53" s="1" t="str">
        <f>IF(A52&lt;'Project Information'!B$11,A52+1,"")</f>
        <v/>
      </c>
      <c r="B53" s="22">
        <v>0</v>
      </c>
      <c r="C53" s="22">
        <v>0</v>
      </c>
      <c r="D53" s="8">
        <f t="shared" si="0"/>
        <v>0</v>
      </c>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5">
      <c r="A54" s="1" t="str">
        <f>IF(A53&lt;'Project Information'!B$11,A53+1,"")</f>
        <v/>
      </c>
      <c r="B54" s="22">
        <v>0</v>
      </c>
      <c r="C54" s="22">
        <v>0</v>
      </c>
      <c r="D54" s="8">
        <f t="shared" si="0"/>
        <v>0</v>
      </c>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5">
      <c r="A55" s="1" t="str">
        <f>IF(A54&lt;'Project Information'!B$11,A54+1,"")</f>
        <v/>
      </c>
      <c r="B55" s="22">
        <v>0</v>
      </c>
      <c r="C55" s="22">
        <v>0</v>
      </c>
      <c r="D55" s="9">
        <f t="shared" si="0"/>
        <v>0</v>
      </c>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5">
      <c r="A56" s="31"/>
      <c r="B56" s="32"/>
      <c r="C56" s="32"/>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5">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5">
      <c r="B62" s="28"/>
      <c r="C62" s="28"/>
      <c r="D62" s="29"/>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5">
      <c r="B63" s="28"/>
      <c r="C63" s="28"/>
      <c r="D63" s="29"/>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5">
      <c r="B64" s="28"/>
      <c r="C64" s="28"/>
      <c r="D64" s="29"/>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2:54" x14ac:dyDescent="0.25">
      <c r="B65" s="28"/>
      <c r="C65" s="28"/>
      <c r="D65" s="29"/>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2: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2: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2: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2: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2: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2: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2: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2: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2: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2: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2: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2: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2: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2: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2: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2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25">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x14ac:dyDescent="0.25">
      <c r="G111" s="13"/>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s="14"/>
    </row>
    <row r="112" spans="7:54" x14ac:dyDescent="0.25">
      <c r="G112" s="13"/>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s="14"/>
    </row>
    <row r="113" spans="7:54" x14ac:dyDescent="0.25">
      <c r="G113" s="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s="14"/>
    </row>
    <row r="114" spans="7:54" x14ac:dyDescent="0.25">
      <c r="G114" s="13"/>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s="14"/>
    </row>
    <row r="115" spans="7:54" ht="15.75" thickBot="1" x14ac:dyDescent="0.3">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7"/>
    </row>
  </sheetData>
  <conditionalFormatting sqref="B26:B55">
    <cfRule type="expression" dxfId="12" priority="2">
      <formula>A26=""</formula>
    </cfRule>
  </conditionalFormatting>
  <conditionalFormatting sqref="C26:C55">
    <cfRule type="expression" dxfId="11" priority="1">
      <formula>A26=""</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195425-0631-417d-9576-672d1304af43" xsi:nil="true"/>
    <lcf76f155ced4ddcb4097134ff3c332f xmlns="a5060e13-48ab-4f65-89d9-584b8a076273">
      <Terms xmlns="http://schemas.microsoft.com/office/infopath/2007/PartnerControls"/>
    </lcf76f155ced4ddcb4097134ff3c332f>
    <SharedWithUsers xmlns="10195425-0631-417d-9576-672d1304af43">
      <UserInfo>
        <DisplayName>Bagwell Rudy, Sarah</DisplayName>
        <AccountId>20</AccountId>
        <AccountType/>
      </UserInfo>
      <UserInfo>
        <DisplayName>Elio, Alexis L (Lexi)</DisplayName>
        <AccountId>100</AccountId>
        <AccountType/>
      </UserInfo>
      <UserInfo>
        <DisplayName>Mannan, Mohammed A</DisplayName>
        <AccountId>191</AccountId>
        <AccountType/>
      </UserInfo>
      <UserInfo>
        <DisplayName>VSSMalyala, Akhilesh</DisplayName>
        <AccountId>192</AccountId>
        <AccountType/>
      </UserInfo>
      <UserInfo>
        <DisplayName>Gadiyar, Govind P</DisplayName>
        <AccountId>193</AccountId>
        <AccountType/>
      </UserInfo>
      <UserInfo>
        <DisplayName>Kramer, Philip</DisplayName>
        <AccountId>194</AccountId>
        <AccountType/>
      </UserInfo>
      <UserInfo>
        <DisplayName>Chewning, B Scott</DisplayName>
        <AccountId>17</AccountId>
        <AccountType/>
      </UserInfo>
      <UserInfo>
        <DisplayName>Atzert, Michael P</DisplayName>
        <AccountId>202</AccountId>
        <AccountType/>
      </UserInfo>
      <UserInfo>
        <DisplayName>Marlow, Emily A</DisplayName>
        <AccountId>209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EC2B4E5301104E93F4699810BBBBF9" ma:contentTypeVersion="18" ma:contentTypeDescription="Create a new document." ma:contentTypeScope="" ma:versionID="d6693958830e04eaecded991684a3afd">
  <xsd:schema xmlns:xsd="http://www.w3.org/2001/XMLSchema" xmlns:xs="http://www.w3.org/2001/XMLSchema" xmlns:p="http://schemas.microsoft.com/office/2006/metadata/properties" xmlns:ns2="a5060e13-48ab-4f65-89d9-584b8a076273" xmlns:ns3="10195425-0631-417d-9576-672d1304af43" targetNamespace="http://schemas.microsoft.com/office/2006/metadata/properties" ma:root="true" ma:fieldsID="24e6518201d8910a423ec3cde12fc710" ns2:_="" ns3:_="">
    <xsd:import namespace="a5060e13-48ab-4f65-89d9-584b8a076273"/>
    <xsd:import namespace="10195425-0631-417d-9576-672d1304af43"/>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60e13-48ab-4f65-89d9-584b8a0762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195425-0631-417d-9576-672d1304af4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0435a4b-f4c4-4eea-81a5-09f5cecfe90d}" ma:internalName="TaxCatchAll" ma:showField="CatchAllData" ma:web="10195425-0631-417d-9576-672d1304af4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5ABB04-2342-42CB-89A3-B30D524C4729}">
  <ds:schemaRefs>
    <ds:schemaRef ds:uri="http://schemas.microsoft.com/office/2006/metadata/properties"/>
    <ds:schemaRef ds:uri="http://purl.org/dc/elements/1.1/"/>
    <ds:schemaRef ds:uri="http://www.w3.org/XML/1998/namespace"/>
    <ds:schemaRef ds:uri="http://schemas.openxmlformats.org/package/2006/metadata/core-properties"/>
    <ds:schemaRef ds:uri="29273627-7bee-4b6f-8ddc-4ca9eddb17be"/>
    <ds:schemaRef ds:uri="http://schemas.microsoft.com/office/2006/documentManagement/types"/>
    <ds:schemaRef ds:uri="http://purl.org/dc/dcmitype/"/>
    <ds:schemaRef ds:uri="http://schemas.microsoft.com/office/infopath/2007/PartnerControls"/>
    <ds:schemaRef ds:uri="3d9e74e9-9787-4329-9c06-9ffe31958e60"/>
    <ds:schemaRef ds:uri="http://purl.org/dc/terms/"/>
  </ds:schemaRefs>
</ds:datastoreItem>
</file>

<file path=customXml/itemProps2.xml><?xml version="1.0" encoding="utf-8"?>
<ds:datastoreItem xmlns:ds="http://schemas.openxmlformats.org/officeDocument/2006/customXml" ds:itemID="{70305A7B-D8A2-49C7-8BC8-D5999A3407DC}">
  <ds:schemaRefs>
    <ds:schemaRef ds:uri="http://schemas.microsoft.com/sharepoint/v3/contenttype/forms"/>
  </ds:schemaRefs>
</ds:datastoreItem>
</file>

<file path=customXml/itemProps3.xml><?xml version="1.0" encoding="utf-8"?>
<ds:datastoreItem xmlns:ds="http://schemas.openxmlformats.org/officeDocument/2006/customXml" ds:itemID="{769B7EAF-CCE3-49BF-A772-D7A1F735B7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Overview</vt:lpstr>
      <vt:lpstr>Project Information</vt:lpstr>
      <vt:lpstr>Parameter Values</vt:lpstr>
      <vt:lpstr>User Volumes</vt:lpstr>
      <vt:lpstr>Capital Costs</vt:lpstr>
      <vt:lpstr>Operations and Maintenance</vt:lpstr>
      <vt:lpstr>Safety</vt:lpstr>
      <vt:lpstr>Travel Time Savings</vt:lpstr>
      <vt:lpstr>Vehicle Operating Cost Savings</vt:lpstr>
      <vt:lpstr>Emissions Reduction</vt:lpstr>
      <vt:lpstr>Other Highway Use Externalities</vt:lpstr>
      <vt:lpstr>Amenity Benefits</vt:lpstr>
      <vt:lpstr>Health Benefits</vt:lpstr>
      <vt:lpstr>Residual Value</vt:lpstr>
      <vt:lpstr>Cargo Spillage</vt:lpstr>
      <vt:lpstr>Other Benefit 2</vt:lpstr>
      <vt:lpstr>Other Benefit 3</vt:lpstr>
      <vt:lpstr>Other Benefit 4</vt:lpstr>
      <vt:lpstr>Summary</vt:lpstr>
      <vt:lpstr>Final Results</vt:lpstr>
      <vt:lpstr>'Capital Costs'!_Hlk163814032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Riesenberg, Jordan (OST)</dc:creator>
  <cp:keywords/>
  <dc:description/>
  <cp:lastModifiedBy>Elio, Alexis L (Lexi)</cp:lastModifiedBy>
  <cp:revision/>
  <dcterms:created xsi:type="dcterms:W3CDTF">2023-03-14T14:10:51Z</dcterms:created>
  <dcterms:modified xsi:type="dcterms:W3CDTF">2024-04-23T23:29:51Z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0x0101009299548C2362BF4A9DB61D1D2351091A</vt:lpwstr>
  </property>
  <property fmtid="{D5CDD505-2E9C-101B-9397-08002B2CF9AE}" pid="3" name="Order">
    <vt:r8>98200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